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245" yWindow="-15" windowWidth="10290" windowHeight="7770" tabRatio="955"/>
  </bookViews>
  <sheets>
    <sheet name="ACA" sheetId="16" r:id="rId1"/>
    <sheet name="BAN" sheetId="19" r:id="rId2"/>
    <sheet name="BCB" sheetId="1" r:id="rId3"/>
    <sheet name="BCW" sheetId="27" r:id="rId4"/>
    <sheet name="BEA" sheetId="9" r:id="rId5"/>
    <sheet name="BHB" sheetId="31" r:id="rId6"/>
    <sheet name="CAN" sheetId="6" r:id="rId7"/>
    <sheet name="FAT" sheetId="11" r:id="rId8"/>
    <sheet name="GCW" sheetId="30" r:id="rId9"/>
    <sheet name="GRZ" sheetId="32" r:id="rId10"/>
    <sheet name="IND" sheetId="5" r:id="rId11"/>
    <sheet name="LVT" sheetId="17" r:id="rId12"/>
    <sheet name="MAD" sheetId="22" r:id="rId13"/>
    <sheet name="MAT" sheetId="23" r:id="rId14"/>
    <sheet name="MED" sheetId="3" r:id="rId15"/>
    <sheet name="MID" sheetId="7" r:id="rId16"/>
    <sheet name="MIL" sheetId="33" r:id="rId17"/>
    <sheet name="MPG" sheetId="10" r:id="rId18"/>
    <sheet name="NAS" sheetId="29" r:id="rId19"/>
    <sheet name="NEW" sheetId="25" r:id="rId20"/>
    <sheet name="NJJ" sheetId="28" r:id="rId21"/>
    <sheet name="OSH" sheetId="20" r:id="rId22"/>
    <sheet name="OTT" sheetId="18" r:id="rId23"/>
    <sheet name="PEN" sheetId="4" r:id="rId24"/>
    <sheet name="RCR" sheetId="15" r:id="rId25"/>
    <sheet name="RIV" sheetId="2" r:id="rId26"/>
    <sheet name="ROS" sheetId="21" r:id="rId27"/>
    <sheet name="SUN" sheetId="12" r:id="rId28"/>
    <sheet name="TTT" sheetId="26" r:id="rId29"/>
    <sheet name="TUG" sheetId="24" r:id="rId30"/>
    <sheet name="Pitchers" sheetId="34" r:id="rId31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2">BCB!$S$2:$AJ$13</definedName>
  </definedNames>
  <calcPr calcId="125725"/>
</workbook>
</file>

<file path=xl/calcChain.xml><?xml version="1.0" encoding="utf-8"?>
<calcChain xmlns="http://schemas.openxmlformats.org/spreadsheetml/2006/main">
  <c r="AE4" i="1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E83" l="1"/>
  <c r="F83"/>
  <c r="G83"/>
  <c r="H83"/>
  <c r="I83"/>
  <c r="E17"/>
  <c r="F17"/>
  <c r="G17"/>
  <c r="H17"/>
  <c r="I17"/>
  <c r="B187" i="27"/>
  <c r="B187" i="31"/>
  <c r="B187" i="30"/>
  <c r="B187" i="22"/>
  <c r="B187" i="23"/>
  <c r="B187" i="33"/>
  <c r="B187" i="25"/>
  <c r="B187" i="20"/>
  <c r="B187" i="21"/>
  <c r="B187" i="26"/>
  <c r="B187" i="24"/>
  <c r="I185" l="1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26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12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21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2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4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18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20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28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25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29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10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33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77" i="16"/>
  <c r="H177"/>
  <c r="G177"/>
  <c r="F177"/>
  <c r="E177"/>
  <c r="I176"/>
  <c r="H176"/>
  <c r="G176"/>
  <c r="F176"/>
  <c r="E176"/>
  <c r="I171"/>
  <c r="H171"/>
  <c r="G171"/>
  <c r="F171"/>
  <c r="E171"/>
  <c r="I166"/>
  <c r="H166"/>
  <c r="G166"/>
  <c r="F166"/>
  <c r="E166"/>
  <c r="I165"/>
  <c r="H165"/>
  <c r="G165"/>
  <c r="F165"/>
  <c r="E165"/>
  <c r="I159"/>
  <c r="H159"/>
  <c r="G159"/>
  <c r="F159"/>
  <c r="E159"/>
  <c r="I153"/>
  <c r="H153"/>
  <c r="G153"/>
  <c r="F153"/>
  <c r="E153"/>
  <c r="I147"/>
  <c r="H147"/>
  <c r="G147"/>
  <c r="F147"/>
  <c r="E147"/>
  <c r="I142"/>
  <c r="H142"/>
  <c r="G142"/>
  <c r="F142"/>
  <c r="E142"/>
  <c r="I139"/>
  <c r="H139"/>
  <c r="G139"/>
  <c r="F139"/>
  <c r="E139"/>
  <c r="I133"/>
  <c r="H133"/>
  <c r="G133"/>
  <c r="F133"/>
  <c r="E133"/>
  <c r="I128"/>
  <c r="H128"/>
  <c r="G128"/>
  <c r="F128"/>
  <c r="E128"/>
  <c r="I127"/>
  <c r="H127"/>
  <c r="G127"/>
  <c r="F127"/>
  <c r="E127"/>
  <c r="I118"/>
  <c r="H118"/>
  <c r="G118"/>
  <c r="F118"/>
  <c r="E118"/>
  <c r="I117"/>
  <c r="H117"/>
  <c r="G117"/>
  <c r="F117"/>
  <c r="E117"/>
  <c r="I113"/>
  <c r="H113"/>
  <c r="G113"/>
  <c r="F113"/>
  <c r="E113"/>
  <c r="I108"/>
  <c r="H108"/>
  <c r="G108"/>
  <c r="F108"/>
  <c r="E108"/>
  <c r="I102"/>
  <c r="H102"/>
  <c r="G102"/>
  <c r="F102"/>
  <c r="E102"/>
  <c r="I101"/>
  <c r="H101"/>
  <c r="G101"/>
  <c r="F101"/>
  <c r="E101"/>
  <c r="I96"/>
  <c r="H96"/>
  <c r="G96"/>
  <c r="F96"/>
  <c r="E96"/>
  <c r="I91"/>
  <c r="H91"/>
  <c r="G91"/>
  <c r="F91"/>
  <c r="E91"/>
  <c r="I82"/>
  <c r="H82"/>
  <c r="G82"/>
  <c r="F82"/>
  <c r="E82"/>
  <c r="I77"/>
  <c r="H77"/>
  <c r="G77"/>
  <c r="F77"/>
  <c r="E77"/>
  <c r="I72"/>
  <c r="H72"/>
  <c r="G72"/>
  <c r="F72"/>
  <c r="E72"/>
  <c r="I66"/>
  <c r="H66"/>
  <c r="G66"/>
  <c r="F66"/>
  <c r="E66"/>
  <c r="I60"/>
  <c r="H60"/>
  <c r="G60"/>
  <c r="F60"/>
  <c r="E60"/>
  <c r="I54"/>
  <c r="H54"/>
  <c r="G54"/>
  <c r="F54"/>
  <c r="E54"/>
  <c r="I49"/>
  <c r="H49"/>
  <c r="G49"/>
  <c r="F49"/>
  <c r="E49"/>
  <c r="I43"/>
  <c r="H43"/>
  <c r="G43"/>
  <c r="F43"/>
  <c r="E43"/>
  <c r="I38"/>
  <c r="H38"/>
  <c r="G38"/>
  <c r="F38"/>
  <c r="E38"/>
  <c r="I33"/>
  <c r="H33"/>
  <c r="G33"/>
  <c r="F33"/>
  <c r="E33"/>
  <c r="I26"/>
  <c r="H26"/>
  <c r="G26"/>
  <c r="F26"/>
  <c r="E26"/>
  <c r="I21"/>
  <c r="H21"/>
  <c r="G21"/>
  <c r="F21"/>
  <c r="E21"/>
  <c r="I16"/>
  <c r="H16"/>
  <c r="G16"/>
  <c r="F16"/>
  <c r="E16"/>
  <c r="I13"/>
  <c r="H13"/>
  <c r="G13"/>
  <c r="F13"/>
  <c r="E13"/>
  <c r="I5"/>
  <c r="H5"/>
  <c r="G5"/>
  <c r="F5"/>
  <c r="E5"/>
  <c r="I185" i="11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15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19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185" i="1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185" i="27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9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31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6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30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32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5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17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22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23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I185" i="3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J127" i="12"/>
  <c r="J181" i="28"/>
  <c r="J129" i="21"/>
  <c r="J65" i="18"/>
  <c r="J117" i="29"/>
  <c r="J129" i="10"/>
  <c r="J118" i="15"/>
  <c r="J109" i="24"/>
  <c r="J77" i="29"/>
  <c r="J101" i="21"/>
  <c r="J126" i="20"/>
  <c r="J100" i="18"/>
  <c r="J154" i="10"/>
  <c r="J65" i="9"/>
  <c r="J139" i="29"/>
  <c r="J176" i="26"/>
  <c r="J68" i="21"/>
  <c r="J178" i="15"/>
  <c r="J19" i="30"/>
  <c r="J116" i="29"/>
  <c r="J5" i="19"/>
  <c r="J172" i="31"/>
  <c r="J53" i="3"/>
  <c r="J137" i="10"/>
  <c r="J167" i="30"/>
  <c r="J33" i="11"/>
  <c r="J115" i="1"/>
  <c r="J59" i="2"/>
  <c r="J122" i="27"/>
  <c r="J71" i="2"/>
  <c r="J75" i="4"/>
  <c r="J74" i="31"/>
  <c r="J92" i="21"/>
  <c r="J173" i="28"/>
  <c r="J150" i="21"/>
  <c r="J159"/>
  <c r="J149" i="18"/>
  <c r="J33"/>
  <c r="J19" i="12"/>
  <c r="J106" i="25"/>
  <c r="J73" i="29"/>
  <c r="J97" i="21"/>
  <c r="J10" i="25"/>
  <c r="J13" i="28"/>
  <c r="J150" i="26"/>
  <c r="J106" i="22"/>
  <c r="J159" i="25"/>
  <c r="J26" i="26"/>
  <c r="J163" i="9"/>
  <c r="J42" i="33"/>
  <c r="J39" i="9"/>
  <c r="J29" i="20"/>
  <c r="J89" i="23"/>
  <c r="AJ82" i="24"/>
  <c r="J142" i="31"/>
  <c r="J185" i="24"/>
  <c r="J80" i="28"/>
  <c r="J84" i="4"/>
  <c r="J25" i="24"/>
  <c r="J140" i="26"/>
  <c r="J135" i="15"/>
  <c r="J91"/>
  <c r="J113" i="21"/>
  <c r="J153" i="4"/>
  <c r="J121" i="2"/>
  <c r="J63" i="18"/>
  <c r="J74" i="10"/>
  <c r="J82" i="28"/>
  <c r="J112" i="29"/>
  <c r="J21" i="18"/>
  <c r="J168" i="11"/>
  <c r="J129" i="18"/>
  <c r="J64" i="19"/>
  <c r="J26" i="1"/>
  <c r="J67" i="24"/>
  <c r="J66" i="29"/>
  <c r="J31" i="7"/>
  <c r="J118" i="28"/>
  <c r="J59" i="10"/>
  <c r="J125" i="21"/>
  <c r="J136" i="9"/>
  <c r="J54" i="26"/>
  <c r="J19"/>
  <c r="J171" i="24"/>
  <c r="J10" i="26"/>
  <c r="J174" i="28"/>
  <c r="J58" i="21"/>
  <c r="J130" i="25"/>
  <c r="J57" i="18"/>
  <c r="J30" i="25"/>
  <c r="J143" i="18"/>
  <c r="J161" i="2"/>
  <c r="J136" i="25"/>
  <c r="J98" i="20"/>
  <c r="J148" i="12"/>
  <c r="J45" i="7"/>
  <c r="J78" i="4"/>
  <c r="J182" i="27"/>
  <c r="J135" i="1"/>
  <c r="J144" i="28"/>
  <c r="J82" i="25"/>
  <c r="J88" i="7"/>
  <c r="J82" i="30"/>
  <c r="J85" i="20"/>
  <c r="J23" i="26"/>
  <c r="J74"/>
  <c r="J47" i="12"/>
  <c r="J131" i="25"/>
  <c r="J129" i="28"/>
  <c r="J50" i="20"/>
  <c r="J158" i="29"/>
  <c r="J102" i="21"/>
  <c r="J66" i="26"/>
  <c r="J126"/>
  <c r="J110" i="25"/>
  <c r="J162" i="28"/>
  <c r="J47" i="26"/>
  <c r="J165" i="20"/>
  <c r="J97" i="29"/>
  <c r="J153" i="32"/>
  <c r="J126" i="24"/>
  <c r="J160" i="25"/>
  <c r="J129" i="16"/>
  <c r="J78" i="32"/>
  <c r="J13" i="21"/>
  <c r="J130" i="29"/>
  <c r="J84" i="22"/>
  <c r="J99" i="6"/>
  <c r="J74" i="28"/>
  <c r="J68" i="20"/>
  <c r="J53" i="24"/>
  <c r="J97" i="18"/>
  <c r="J24" i="28"/>
  <c r="J183" i="10"/>
  <c r="J146" i="28"/>
  <c r="J143" i="10"/>
  <c r="J66" i="18"/>
  <c r="J174" i="26"/>
  <c r="J154" i="25"/>
  <c r="J59" i="24"/>
  <c r="J169"/>
  <c r="J8" i="26"/>
  <c r="J142" i="2"/>
  <c r="J82" i="16"/>
  <c r="J155" i="12"/>
  <c r="J170" i="23"/>
  <c r="J145"/>
  <c r="J128" i="29"/>
  <c r="J77" i="2"/>
  <c r="J47" i="3"/>
  <c r="J14" i="10"/>
  <c r="J149" i="1"/>
  <c r="J151" i="18"/>
  <c r="AJ44" i="24"/>
  <c r="J68" i="4"/>
  <c r="J87" i="20"/>
  <c r="J49" i="15"/>
  <c r="J66" i="3"/>
  <c r="J112" i="17"/>
  <c r="J38" i="31"/>
  <c r="J9" i="15"/>
  <c r="J52" i="33"/>
  <c r="J44" i="2"/>
  <c r="J119" i="10"/>
  <c r="J118" i="24"/>
  <c r="J37" i="16"/>
  <c r="J50" i="22"/>
  <c r="J24" i="32"/>
  <c r="AJ80" i="26"/>
  <c r="J131" i="10"/>
  <c r="J16" i="2"/>
  <c r="J8" i="27"/>
  <c r="AJ173" i="18"/>
  <c r="J28"/>
  <c r="J57" i="2"/>
  <c r="J60" i="4"/>
  <c r="J51" i="26"/>
  <c r="J16" i="25"/>
  <c r="J47" i="28"/>
  <c r="J21" i="25"/>
  <c r="J109" i="20"/>
  <c r="J87" i="11"/>
  <c r="J127" i="20"/>
  <c r="J14" i="3"/>
  <c r="J133" i="33"/>
  <c r="J63" i="2"/>
  <c r="J44" i="4"/>
  <c r="J18" i="16"/>
  <c r="J68" i="11"/>
  <c r="J75" i="24"/>
  <c r="J167" i="1"/>
  <c r="J159" i="23"/>
  <c r="AJ137" i="4"/>
  <c r="J127" i="28"/>
  <c r="J23" i="29"/>
  <c r="J108" i="21"/>
  <c r="J87" i="30"/>
  <c r="J78" i="15"/>
  <c r="J112" i="9"/>
  <c r="J172" i="32"/>
  <c r="J141" i="3"/>
  <c r="J107" i="21"/>
  <c r="J180" i="29"/>
  <c r="J57" i="33"/>
  <c r="J167" i="7"/>
  <c r="J72" i="26"/>
  <c r="J52" i="5"/>
  <c r="J78" i="29"/>
  <c r="J92" i="16"/>
  <c r="J125" i="10"/>
  <c r="J4" i="24"/>
  <c r="J8" i="1"/>
  <c r="J61" i="32"/>
  <c r="J82" i="9"/>
  <c r="J140" i="24"/>
  <c r="J74" i="29"/>
  <c r="J13" i="4"/>
  <c r="J184" i="3"/>
  <c r="J3" i="5"/>
  <c r="J127" i="19"/>
  <c r="J23" i="30"/>
  <c r="J181" i="31"/>
  <c r="J78" i="28"/>
  <c r="J176" i="2"/>
  <c r="J88" i="17"/>
  <c r="J118" i="3"/>
  <c r="J81" i="7"/>
  <c r="J76" i="4"/>
  <c r="J168" i="27"/>
  <c r="J79" i="9"/>
  <c r="J38" i="26"/>
  <c r="J101" i="5"/>
  <c r="J24" i="23"/>
  <c r="J71" i="16"/>
  <c r="J19" i="31"/>
  <c r="J97" i="28"/>
  <c r="J158" i="20"/>
  <c r="J9" i="4"/>
  <c r="J176" i="3"/>
  <c r="J56" i="33"/>
  <c r="J13" i="15"/>
  <c r="J114" i="28"/>
  <c r="J111" i="18"/>
  <c r="J4" i="4"/>
  <c r="J36" i="32"/>
  <c r="J44" i="5"/>
  <c r="J11" i="2"/>
  <c r="J110" i="5"/>
  <c r="J155" i="29"/>
  <c r="J3" i="24"/>
  <c r="J102" i="6"/>
  <c r="AJ23" i="24"/>
  <c r="J143" i="32"/>
  <c r="J125" i="27"/>
  <c r="J119"/>
  <c r="J134" i="29"/>
  <c r="J25" i="20"/>
  <c r="J163" i="15"/>
  <c r="J88" i="20"/>
  <c r="J19" i="21"/>
  <c r="J89" i="28"/>
  <c r="J64" i="21"/>
  <c r="J75"/>
  <c r="J133" i="25"/>
  <c r="J36"/>
  <c r="J150" i="10"/>
  <c r="J157" i="21"/>
  <c r="J56"/>
  <c r="J3" i="26"/>
  <c r="J46" i="28"/>
  <c r="J69" i="22"/>
  <c r="J57" i="29"/>
  <c r="J19" i="9"/>
  <c r="J155" i="7"/>
  <c r="J165" i="9"/>
  <c r="J81" i="4"/>
  <c r="J109" i="1"/>
  <c r="J149" i="2"/>
  <c r="J6" i="16"/>
  <c r="J167" i="15"/>
  <c r="J108" i="10"/>
  <c r="J176" i="28"/>
  <c r="J84" i="29"/>
  <c r="J28" i="20"/>
  <c r="J60" i="15"/>
  <c r="J29" i="22"/>
  <c r="J24" i="10"/>
  <c r="J146" i="2"/>
  <c r="J19" i="20"/>
  <c r="J110" i="29"/>
  <c r="J84" i="20"/>
  <c r="J88" i="21"/>
  <c r="J171" i="29"/>
  <c r="J121" i="26"/>
  <c r="J180" i="24"/>
  <c r="J42" i="2"/>
  <c r="J94"/>
  <c r="J146" i="10"/>
  <c r="J64" i="2"/>
  <c r="J35" i="24"/>
  <c r="J89" i="15"/>
  <c r="J71" i="24"/>
  <c r="J115" i="28"/>
  <c r="J139" i="15"/>
  <c r="AJ152" i="24"/>
  <c r="J112" i="3"/>
  <c r="J24" i="9"/>
  <c r="J101" i="28"/>
  <c r="J169" i="21"/>
  <c r="AJ179" i="24"/>
  <c r="J112" i="33"/>
  <c r="J33" i="21"/>
  <c r="J112" i="25"/>
  <c r="J128" i="2"/>
  <c r="J179" i="25"/>
  <c r="J56"/>
  <c r="J45" i="18"/>
  <c r="J4" i="28"/>
  <c r="J63" i="4"/>
  <c r="J84" i="18"/>
  <c r="J145" i="28"/>
  <c r="J31" i="29"/>
  <c r="J87" i="28"/>
  <c r="J123" i="25"/>
  <c r="J31" i="21"/>
  <c r="J117" i="20"/>
  <c r="J172" i="12"/>
  <c r="J139" i="24"/>
  <c r="J82" i="12"/>
  <c r="J87" i="2"/>
  <c r="J19" i="33"/>
  <c r="J113" i="29"/>
  <c r="AJ79" i="24"/>
  <c r="J77" i="20"/>
  <c r="J86" i="11"/>
  <c r="J94" i="28"/>
  <c r="J37" i="33"/>
  <c r="J46" i="2"/>
  <c r="J110" i="15"/>
  <c r="J97"/>
  <c r="J39" i="2"/>
  <c r="J130"/>
  <c r="J21"/>
  <c r="J116" i="15"/>
  <c r="J33" i="28"/>
  <c r="J21" i="29"/>
  <c r="J163" i="4"/>
  <c r="J151" i="2"/>
  <c r="J114" i="24"/>
  <c r="J76" i="10"/>
  <c r="J4" i="2"/>
  <c r="J60" i="20"/>
  <c r="J45"/>
  <c r="J37" i="4"/>
  <c r="J78" i="33"/>
  <c r="AJ122" i="24"/>
  <c r="J68" i="2"/>
  <c r="J13" i="6"/>
  <c r="J91" i="31"/>
  <c r="AJ111" i="26"/>
  <c r="J183" i="22"/>
  <c r="J151" i="21"/>
  <c r="J58" i="12"/>
  <c r="J68" i="10"/>
  <c r="J34" i="28"/>
  <c r="J66" i="24"/>
  <c r="J93" i="12"/>
  <c r="J99" i="18"/>
  <c r="J75"/>
  <c r="J56" i="28"/>
  <c r="J51" i="25"/>
  <c r="J20" i="15"/>
  <c r="J85" i="12"/>
  <c r="J18" i="26"/>
  <c r="J25" i="25"/>
  <c r="J73" i="21"/>
  <c r="J40" i="12"/>
  <c r="J31" i="33"/>
  <c r="J173"/>
  <c r="J71" i="7"/>
  <c r="J50" i="12"/>
  <c r="J65" i="22"/>
  <c r="J145" i="15"/>
  <c r="J154" i="29"/>
  <c r="J120" i="12"/>
  <c r="J23" i="2"/>
  <c r="J9" i="21"/>
  <c r="J125" i="24"/>
  <c r="J5"/>
  <c r="J82" i="26"/>
  <c r="J71" i="17"/>
  <c r="J106" i="29"/>
  <c r="J84" i="28"/>
  <c r="J95"/>
  <c r="J118" i="18"/>
  <c r="J160" i="10"/>
  <c r="J30" i="18"/>
  <c r="J14" i="12"/>
  <c r="J98" i="16"/>
  <c r="J177" i="33"/>
  <c r="J35" i="28"/>
  <c r="J162" i="21"/>
  <c r="J114" i="7"/>
  <c r="J96" i="22"/>
  <c r="J54" i="29"/>
  <c r="J146" i="22"/>
  <c r="J3" i="29"/>
  <c r="J64" i="31"/>
  <c r="J180" i="21"/>
  <c r="AJ146" i="24"/>
  <c r="J172" i="20"/>
  <c r="J79" i="28"/>
  <c r="J30" i="21"/>
  <c r="J169" i="16"/>
  <c r="AJ157" i="24"/>
  <c r="J185" i="3"/>
  <c r="J112" i="32"/>
  <c r="J58" i="16"/>
  <c r="J128" i="12"/>
  <c r="J14" i="21"/>
  <c r="J135" i="16"/>
  <c r="AJ128" i="24"/>
  <c r="J15" i="32"/>
  <c r="J68" i="22"/>
  <c r="J51" i="31"/>
  <c r="J98" i="5"/>
  <c r="J59" i="26"/>
  <c r="J84" i="7"/>
  <c r="AJ27" i="26"/>
  <c r="J117" i="18"/>
  <c r="J49" i="29"/>
  <c r="J23" i="28"/>
  <c r="J46" i="15"/>
  <c r="J155" i="28"/>
  <c r="J49"/>
  <c r="J95" i="18"/>
  <c r="J63" i="27"/>
  <c r="J9" i="33"/>
  <c r="J77" i="10"/>
  <c r="J159" i="11"/>
  <c r="J26" i="19"/>
  <c r="J123" i="26"/>
  <c r="J92" i="9"/>
  <c r="J36" i="19"/>
  <c r="J68" i="5"/>
  <c r="J169" i="29"/>
  <c r="J152" i="26"/>
  <c r="J21" i="19"/>
  <c r="J142" i="17"/>
  <c r="J106" i="21"/>
  <c r="J87" i="26"/>
  <c r="J133" i="12"/>
  <c r="J101" i="26"/>
  <c r="J169" i="20"/>
  <c r="J93" i="22"/>
  <c r="J166" i="20"/>
  <c r="J15" i="27"/>
  <c r="J74" i="21"/>
  <c r="J183" i="24"/>
  <c r="J167" i="25"/>
  <c r="J36" i="7"/>
  <c r="J88" i="5"/>
  <c r="J130" i="9"/>
  <c r="J26" i="7"/>
  <c r="J137" i="30"/>
  <c r="J132" i="2"/>
  <c r="J87" i="3"/>
  <c r="J28" i="6"/>
  <c r="J163" i="1"/>
  <c r="J158" i="9"/>
  <c r="J185" i="10"/>
  <c r="J114" i="22"/>
  <c r="J67" i="4"/>
  <c r="J139" i="20"/>
  <c r="J29" i="32"/>
  <c r="J79" i="17"/>
  <c r="J117" i="28"/>
  <c r="J68" i="17"/>
  <c r="J98" i="18"/>
  <c r="J162" i="12"/>
  <c r="J84" i="15"/>
  <c r="J137" i="3"/>
  <c r="J172" i="19"/>
  <c r="J106" i="15"/>
  <c r="J179" i="32"/>
  <c r="J182" i="16"/>
  <c r="J155" i="2"/>
  <c r="J72" i="4"/>
  <c r="J19" i="19"/>
  <c r="J168" i="16"/>
  <c r="J36" i="26"/>
  <c r="J106" i="18"/>
  <c r="J46" i="30"/>
  <c r="J102" i="18"/>
  <c r="J57" i="24"/>
  <c r="J3" i="17"/>
  <c r="J165" i="18"/>
  <c r="J168" i="12"/>
  <c r="J119" i="1"/>
  <c r="J95" i="20"/>
  <c r="J37" i="1"/>
  <c r="J64" i="22"/>
  <c r="J152" i="16"/>
  <c r="J93" i="18"/>
  <c r="J183"/>
  <c r="J18" i="30"/>
  <c r="J54" i="3"/>
  <c r="J91" i="26"/>
  <c r="J151" i="29"/>
  <c r="J183" i="26"/>
  <c r="J160" i="22"/>
  <c r="J126" i="17"/>
  <c r="J30" i="12"/>
  <c r="J106" i="4"/>
  <c r="J67" i="29"/>
  <c r="J67" i="25"/>
  <c r="J163" i="21"/>
  <c r="J168" i="25"/>
  <c r="J168" i="2"/>
  <c r="J108" i="25"/>
  <c r="J126" i="2"/>
  <c r="J133" i="15"/>
  <c r="J73" i="28"/>
  <c r="J38" i="15"/>
  <c r="J46" i="29"/>
  <c r="J3" i="12"/>
  <c r="J78"/>
  <c r="J179" i="10"/>
  <c r="J49" i="23"/>
  <c r="J39" i="32"/>
  <c r="J92" i="19"/>
  <c r="J38" i="21"/>
  <c r="J81" i="12"/>
  <c r="J85" i="2"/>
  <c r="J63" i="26"/>
  <c r="J46" i="20"/>
  <c r="J80" i="12"/>
  <c r="J82" i="2"/>
  <c r="J72" i="11"/>
  <c r="J149" i="10"/>
  <c r="J20" i="26"/>
  <c r="J71" i="28"/>
  <c r="J52" i="1"/>
  <c r="J108" i="24"/>
  <c r="J180" i="10"/>
  <c r="J99" i="4"/>
  <c r="J63" i="29"/>
  <c r="J134" i="25"/>
  <c r="J182" i="24"/>
  <c r="J8" i="2"/>
  <c r="J38" i="12"/>
  <c r="J150" i="28"/>
  <c r="J99" i="24"/>
  <c r="J129" i="15"/>
  <c r="J33" i="20"/>
  <c r="J135" i="21"/>
  <c r="J42" i="29"/>
  <c r="J182" i="28"/>
  <c r="J122" i="29"/>
  <c r="J68" i="25"/>
  <c r="J141" i="6"/>
  <c r="J137" i="29"/>
  <c r="J25" i="31"/>
  <c r="J114" i="29"/>
  <c r="J150" i="2"/>
  <c r="J14" i="19"/>
  <c r="J143" i="23"/>
  <c r="J93" i="28"/>
  <c r="J24" i="29"/>
  <c r="J166" i="4"/>
  <c r="J58" i="29"/>
  <c r="J110" i="12"/>
  <c r="J144" i="20"/>
  <c r="J177" i="21"/>
  <c r="J132" i="10"/>
  <c r="J149" i="21"/>
  <c r="J51" i="12"/>
  <c r="J11" i="28"/>
  <c r="J52" i="15"/>
  <c r="J131" i="21"/>
  <c r="J37" i="29"/>
  <c r="J88" i="10"/>
  <c r="J122" i="11"/>
  <c r="J81" i="18"/>
  <c r="J131" i="9"/>
  <c r="J136" i="24"/>
  <c r="J129" i="4"/>
  <c r="J133" i="10"/>
  <c r="J64" i="16"/>
  <c r="J20" i="31"/>
  <c r="J151" i="20"/>
  <c r="J46" i="18"/>
  <c r="J179" i="23"/>
  <c r="J94" i="20"/>
  <c r="J115" i="15"/>
  <c r="J174" i="25"/>
  <c r="J15" i="12"/>
  <c r="J52"/>
  <c r="J3" i="21"/>
  <c r="J92" i="15"/>
  <c r="J79" i="18"/>
  <c r="J141" i="28"/>
  <c r="J26" i="29"/>
  <c r="J135" i="10"/>
  <c r="J99" i="2"/>
  <c r="J23" i="4"/>
  <c r="J20" i="27"/>
  <c r="J163" i="32"/>
  <c r="J14" i="29"/>
  <c r="J15" i="25"/>
  <c r="J153" i="7"/>
  <c r="J122" i="10"/>
  <c r="J153" i="28"/>
  <c r="J119"/>
  <c r="J74" i="5"/>
  <c r="J23" i="33"/>
  <c r="J43" i="12"/>
  <c r="J160" i="24"/>
  <c r="J50" i="25"/>
  <c r="J134" i="2"/>
  <c r="J80" i="18"/>
  <c r="J184" i="4"/>
  <c r="J85" i="15"/>
  <c r="J134"/>
  <c r="J66" i="20"/>
  <c r="J168" i="4"/>
  <c r="J106" i="12"/>
  <c r="J18" i="15"/>
  <c r="J155" i="20"/>
  <c r="J50" i="2"/>
  <c r="J84" i="10"/>
  <c r="J114" i="11"/>
  <c r="J56" i="18"/>
  <c r="J177" i="10"/>
  <c r="J54" i="21"/>
  <c r="J56" i="27"/>
  <c r="J34" i="21"/>
  <c r="AJ81" i="24"/>
  <c r="J123" i="9"/>
  <c r="J107" i="12"/>
  <c r="J39" i="20"/>
  <c r="J127" i="25"/>
  <c r="J34" i="18"/>
  <c r="J99" i="26"/>
  <c r="J15" i="28"/>
  <c r="J31" i="4"/>
  <c r="J169" i="19"/>
  <c r="J116" i="24"/>
  <c r="J130" i="28"/>
  <c r="J160" i="26"/>
  <c r="J96" i="15"/>
  <c r="J49" i="20"/>
  <c r="J28" i="1"/>
  <c r="J36" i="28"/>
  <c r="J89" i="4"/>
  <c r="J59" i="18"/>
  <c r="J51" i="4"/>
  <c r="J153" i="10"/>
  <c r="J100" i="6"/>
  <c r="J92" i="3"/>
  <c r="J94" i="15"/>
  <c r="J15" i="3"/>
  <c r="J65" i="23"/>
  <c r="J25" i="32"/>
  <c r="J26" i="18"/>
  <c r="J140" i="9"/>
  <c r="J24" i="15"/>
  <c r="J111" i="2"/>
  <c r="J163" i="12"/>
  <c r="J8"/>
  <c r="J172" i="16"/>
  <c r="J182" i="32"/>
  <c r="J9" i="22"/>
  <c r="J98" i="27"/>
  <c r="J58" i="25"/>
  <c r="J57" i="4"/>
  <c r="J98" i="23"/>
  <c r="J118" i="7"/>
  <c r="J102" i="20"/>
  <c r="J121" i="7"/>
  <c r="J182" i="25"/>
  <c r="J157" i="5"/>
  <c r="J88" i="27"/>
  <c r="J66" i="22"/>
  <c r="J140" i="17"/>
  <c r="AJ107" i="26"/>
  <c r="J40" i="15"/>
  <c r="J102" i="4"/>
  <c r="J170" i="18"/>
  <c r="J54" i="32"/>
  <c r="J42" i="30"/>
  <c r="J18" i="11"/>
  <c r="J60"/>
  <c r="J26" i="6"/>
  <c r="J100" i="21"/>
  <c r="J107" i="3"/>
  <c r="J159" i="19"/>
  <c r="J127" i="17"/>
  <c r="J37" i="28"/>
  <c r="J44" i="1"/>
  <c r="AJ7" i="24"/>
  <c r="J6" i="28"/>
  <c r="J179" i="20"/>
  <c r="J81" i="32"/>
  <c r="AJ91" i="18"/>
  <c r="J159" i="29"/>
  <c r="J119" i="4"/>
  <c r="J28"/>
  <c r="J125" i="18"/>
  <c r="J102" i="23"/>
  <c r="J116" i="20"/>
  <c r="J167" i="29"/>
  <c r="J76" i="1"/>
  <c r="J111" i="11"/>
  <c r="J108" i="4"/>
  <c r="J75" i="33"/>
  <c r="J148" i="27"/>
  <c r="J137" i="18"/>
  <c r="J113" i="25"/>
  <c r="J98" i="17"/>
  <c r="J153" i="29"/>
  <c r="J159" i="2"/>
  <c r="J158" i="1"/>
  <c r="J71" i="11"/>
  <c r="AJ78" i="2"/>
  <c r="J89" i="25"/>
  <c r="J5" i="28"/>
  <c r="J36" i="21"/>
  <c r="J19" i="15"/>
  <c r="J40" i="2"/>
  <c r="J142" i="10"/>
  <c r="J81" i="28"/>
  <c r="J42" i="18"/>
  <c r="J76" i="27"/>
  <c r="J19"/>
  <c r="J167" i="28"/>
  <c r="AJ160" i="24"/>
  <c r="J68" i="9"/>
  <c r="J162" i="4"/>
  <c r="J98" i="15"/>
  <c r="J19" i="7"/>
  <c r="J64" i="12"/>
  <c r="J6" i="24"/>
  <c r="J3" i="30"/>
  <c r="J122" i="1"/>
  <c r="AJ5" i="21"/>
  <c r="J102" i="10"/>
  <c r="J182" i="2"/>
  <c r="J67"/>
  <c r="J155" i="26"/>
  <c r="J31" i="28"/>
  <c r="J174" i="20"/>
  <c r="J15" i="23"/>
  <c r="J54" i="1"/>
  <c r="J102" i="15"/>
  <c r="J115" i="22"/>
  <c r="J106" i="26"/>
  <c r="J61" i="15"/>
  <c r="J59" i="9"/>
  <c r="J165" i="2"/>
  <c r="J178" i="18"/>
  <c r="J59" i="33"/>
  <c r="J112" i="11"/>
  <c r="J173" i="26"/>
  <c r="J121" i="23"/>
  <c r="J6" i="17"/>
  <c r="AJ52" i="12"/>
  <c r="J108" i="28"/>
  <c r="J131" i="15"/>
  <c r="J170" i="21"/>
  <c r="J126" i="28"/>
  <c r="J157" i="26"/>
  <c r="J121" i="21"/>
  <c r="J118" i="2"/>
  <c r="J82" i="20"/>
  <c r="J87" i="21"/>
  <c r="J89" i="29"/>
  <c r="J8" i="24"/>
  <c r="J33" i="29"/>
  <c r="J74" i="18"/>
  <c r="J107" i="25"/>
  <c r="J170" i="28"/>
  <c r="J81" i="16"/>
  <c r="J56" i="29"/>
  <c r="J45" i="6"/>
  <c r="J73" i="7"/>
  <c r="J185" i="25"/>
  <c r="J145" i="3"/>
  <c r="J126" i="19"/>
  <c r="J146" i="24"/>
  <c r="J57" i="15"/>
  <c r="AJ22" i="24"/>
  <c r="J128" i="6"/>
  <c r="J144" i="24"/>
  <c r="J94" i="29"/>
  <c r="J61"/>
  <c r="J35" i="17"/>
  <c r="J67" i="15"/>
  <c r="J50" i="19"/>
  <c r="J113" i="28"/>
  <c r="J127" i="15"/>
  <c r="J119" i="24"/>
  <c r="J84" i="21"/>
  <c r="J43" i="24"/>
  <c r="J117" i="21"/>
  <c r="J114" i="2"/>
  <c r="J178" i="25"/>
  <c r="J109" i="12"/>
  <c r="J66" i="4"/>
  <c r="J101"/>
  <c r="J65" i="29"/>
  <c r="J69" i="18"/>
  <c r="J96" i="10"/>
  <c r="J127" i="29"/>
  <c r="AJ173" i="24"/>
  <c r="J69" i="28"/>
  <c r="J163" i="16"/>
  <c r="J168" i="18"/>
  <c r="J135" i="27"/>
  <c r="J78" i="30"/>
  <c r="J177" i="3"/>
  <c r="J49"/>
  <c r="AJ171" i="24"/>
  <c r="J20" i="10"/>
  <c r="J9" i="28"/>
  <c r="J96" i="20"/>
  <c r="J121" i="18"/>
  <c r="J119" i="15"/>
  <c r="J143"/>
  <c r="J26" i="2"/>
  <c r="J173" i="25"/>
  <c r="J133" i="4"/>
  <c r="J123" i="28"/>
  <c r="J97" i="4"/>
  <c r="J60" i="29"/>
  <c r="J94" i="21"/>
  <c r="J144" i="15"/>
  <c r="J165" i="21"/>
  <c r="J40" i="22"/>
  <c r="J46" i="12"/>
  <c r="J163" i="26"/>
  <c r="J42" i="21"/>
  <c r="J134" i="17"/>
  <c r="J19" i="18"/>
  <c r="J107" i="22"/>
  <c r="J180" i="31"/>
  <c r="J75" i="28"/>
  <c r="J18" i="18"/>
  <c r="J58" i="28"/>
  <c r="J145" i="26"/>
  <c r="J47" i="18"/>
  <c r="J159" i="20"/>
  <c r="J56" i="12"/>
  <c r="J92" i="1"/>
  <c r="J3" i="4"/>
  <c r="J25" i="18"/>
  <c r="J52" i="29"/>
  <c r="J167" i="2"/>
  <c r="J170" i="29"/>
  <c r="J178"/>
  <c r="J101"/>
  <c r="J182" i="12"/>
  <c r="J82" i="6"/>
  <c r="J184" i="27"/>
  <c r="J20" i="12"/>
  <c r="J120" i="30"/>
  <c r="J112" i="10"/>
  <c r="J76" i="21"/>
  <c r="J137" i="24"/>
  <c r="AJ185"/>
  <c r="J122" i="19"/>
  <c r="J137" i="26"/>
  <c r="J177" i="28"/>
  <c r="J144" i="29"/>
  <c r="J173" i="20"/>
  <c r="J153" i="24"/>
  <c r="J53" i="29"/>
  <c r="J162" i="24"/>
  <c r="J35" i="12"/>
  <c r="J141" i="20"/>
  <c r="J28" i="28"/>
  <c r="J119" i="18"/>
  <c r="J112" i="12"/>
  <c r="J115" i="20"/>
  <c r="J139" i="26"/>
  <c r="J85" i="10"/>
  <c r="J96" i="29"/>
  <c r="J170" i="12"/>
  <c r="J115" i="29"/>
  <c r="J131" i="27"/>
  <c r="J14" i="1"/>
  <c r="AJ175" i="24"/>
  <c r="J149" i="30"/>
  <c r="J116" i="27"/>
  <c r="J160" i="1"/>
  <c r="J106" i="32"/>
  <c r="J25" i="7"/>
  <c r="J8" i="4"/>
  <c r="J100" i="26"/>
  <c r="J38" i="25"/>
  <c r="J101" i="18"/>
  <c r="J26" i="4"/>
  <c r="J69" i="29"/>
  <c r="J46" i="24"/>
  <c r="J71" i="25"/>
  <c r="J3" i="28"/>
  <c r="J54" i="18"/>
  <c r="J47" i="20"/>
  <c r="J29" i="24"/>
  <c r="J119" i="12"/>
  <c r="J118" i="6"/>
  <c r="J91" i="10"/>
  <c r="J176" i="20"/>
  <c r="J34" i="27"/>
  <c r="J47" i="16"/>
  <c r="J39" i="22"/>
  <c r="J153" i="18"/>
  <c r="J53" i="21"/>
  <c r="J153" i="6"/>
  <c r="J60" i="10"/>
  <c r="J120" i="20"/>
  <c r="J49" i="21"/>
  <c r="J72" i="25"/>
  <c r="J80" i="21"/>
  <c r="J43" i="15"/>
  <c r="J34" i="29"/>
  <c r="J146" i="18"/>
  <c r="J144"/>
  <c r="J100" i="5"/>
  <c r="J34" i="17"/>
  <c r="J72" i="10"/>
  <c r="AJ182" i="24"/>
  <c r="J67" i="21"/>
  <c r="AJ70" i="26"/>
  <c r="J102" i="2"/>
  <c r="AJ47" i="24"/>
  <c r="AJ182" i="18"/>
  <c r="J144" i="26"/>
  <c r="J49" i="17"/>
  <c r="J134" i="16"/>
  <c r="J114" i="9"/>
  <c r="J140" i="12"/>
  <c r="J5"/>
  <c r="J95" i="15"/>
  <c r="J163" i="28"/>
  <c r="J121"/>
  <c r="J125" i="33"/>
  <c r="J9" i="19"/>
  <c r="J39"/>
  <c r="J28" i="24"/>
  <c r="J16" i="10"/>
  <c r="J72" i="3"/>
  <c r="J61" i="31"/>
  <c r="J137" i="15"/>
  <c r="J46" i="16"/>
  <c r="J101" i="11"/>
  <c r="AJ162" i="4"/>
  <c r="J159" i="1"/>
  <c r="J137" i="5"/>
  <c r="AJ87" i="24"/>
  <c r="J161" i="17"/>
  <c r="J128" i="20"/>
  <c r="J8" i="28"/>
  <c r="J9" i="20"/>
  <c r="J143" i="12"/>
  <c r="J142" i="11"/>
  <c r="J185" i="29"/>
  <c r="J75" i="19"/>
  <c r="J171" i="7"/>
  <c r="J161" i="20"/>
  <c r="J19" i="25"/>
  <c r="J183" i="20"/>
  <c r="J128" i="4"/>
  <c r="J166" i="23"/>
  <c r="J94" i="27"/>
  <c r="J64" i="11"/>
  <c r="J15" i="1"/>
  <c r="J133" i="24"/>
  <c r="J116" i="22"/>
  <c r="J158" i="27"/>
  <c r="J180" i="18"/>
  <c r="J99" i="16"/>
  <c r="J111" i="28"/>
  <c r="J126" i="12"/>
  <c r="J13" i="29"/>
  <c r="J34" i="20"/>
  <c r="J23" i="1"/>
  <c r="J109" i="32"/>
  <c r="J127" i="5"/>
  <c r="J20" i="22"/>
  <c r="J6" i="21"/>
  <c r="J149" i="26"/>
  <c r="J71" i="1"/>
  <c r="J15" i="16"/>
  <c r="J58" i="31"/>
  <c r="J120" i="1"/>
  <c r="J152" i="9"/>
  <c r="J99" i="33"/>
  <c r="J15" i="19"/>
  <c r="J136" i="27"/>
  <c r="J157" i="7"/>
  <c r="J92" i="5"/>
  <c r="J135" i="23"/>
  <c r="J89" i="26"/>
  <c r="J81" i="21"/>
  <c r="J155" i="10"/>
  <c r="J139" i="21"/>
  <c r="J126" i="16"/>
  <c r="J121" i="10"/>
  <c r="J127" i="31"/>
  <c r="J115"/>
  <c r="J116" i="2"/>
  <c r="J177" i="20"/>
  <c r="J47" i="25"/>
  <c r="J85" i="23"/>
  <c r="J9" i="9"/>
  <c r="AJ161" i="24"/>
  <c r="J75" i="3"/>
  <c r="J6" i="30"/>
  <c r="J166" i="18"/>
  <c r="J23" i="19"/>
  <c r="J26" i="27"/>
  <c r="AJ30" i="2"/>
  <c r="J115" i="18"/>
  <c r="J44" i="20"/>
  <c r="J167" i="4"/>
  <c r="J57" i="28"/>
  <c r="J14" i="20"/>
  <c r="J146" i="25"/>
  <c r="J80" i="24"/>
  <c r="J52" i="18"/>
  <c r="J19" i="4"/>
  <c r="J169" i="5"/>
  <c r="J113" i="10"/>
  <c r="J86" i="30"/>
  <c r="J35" i="26"/>
  <c r="J144" i="3"/>
  <c r="J53" i="12"/>
  <c r="J47" i="32"/>
  <c r="J113" i="22"/>
  <c r="J29" i="21"/>
  <c r="J51" i="2"/>
  <c r="J52" i="28"/>
  <c r="J16" i="4"/>
  <c r="J142" i="25"/>
  <c r="J33" i="12"/>
  <c r="J53" i="26"/>
  <c r="J158"/>
  <c r="J34" i="6"/>
  <c r="J100" i="28"/>
  <c r="J145" i="33"/>
  <c r="J99" i="28"/>
  <c r="J154" i="21"/>
  <c r="J170" i="2"/>
  <c r="J173" i="10"/>
  <c r="J31" i="12"/>
  <c r="J56" i="2"/>
  <c r="J182" i="10"/>
  <c r="J123" i="21"/>
  <c r="J132" i="4"/>
  <c r="J19" i="32"/>
  <c r="J123" i="24"/>
  <c r="J185" i="11"/>
  <c r="J168" i="21"/>
  <c r="J109" i="25"/>
  <c r="J67" i="20"/>
  <c r="J126" i="18"/>
  <c r="J109" i="21"/>
  <c r="J148"/>
  <c r="J147" i="18"/>
  <c r="J58" i="2"/>
  <c r="J20" i="33"/>
  <c r="J44" i="26"/>
  <c r="J117" i="3"/>
  <c r="J21" i="7"/>
  <c r="J136" i="16"/>
  <c r="J115" i="2"/>
  <c r="J13" i="25"/>
  <c r="J162" i="10"/>
  <c r="J147" i="25"/>
  <c r="J43" i="20"/>
  <c r="J101"/>
  <c r="J40" i="24"/>
  <c r="J43" i="18"/>
  <c r="J115" i="21"/>
  <c r="J176" i="22"/>
  <c r="J150" i="7"/>
  <c r="J185" i="31"/>
  <c r="J163" i="29"/>
  <c r="J132" i="20"/>
  <c r="J122" i="18"/>
  <c r="J126" i="15"/>
  <c r="J42" i="20"/>
  <c r="J178" i="4"/>
  <c r="J157"/>
  <c r="J74" i="24"/>
  <c r="J168" i="1"/>
  <c r="J177" i="23"/>
  <c r="J40" i="28"/>
  <c r="J127" i="23"/>
  <c r="J87" i="18"/>
  <c r="J87" i="12"/>
  <c r="J52" i="4"/>
  <c r="J118" i="10"/>
  <c r="J39" i="7"/>
  <c r="J123" i="5"/>
  <c r="J93" i="2"/>
  <c r="J75" i="22"/>
  <c r="AJ54" i="26"/>
  <c r="AJ61" i="24"/>
  <c r="J121" i="5"/>
  <c r="J36" i="24"/>
  <c r="J20" i="20"/>
  <c r="J140" i="18"/>
  <c r="J102" i="9"/>
  <c r="J128" i="31"/>
  <c r="J148" i="1"/>
  <c r="J57" i="31"/>
  <c r="J11" i="26"/>
  <c r="J140" i="30"/>
  <c r="J131" i="12"/>
  <c r="J161" i="29"/>
  <c r="J108" i="27"/>
  <c r="AJ119" i="24"/>
  <c r="J122" i="25"/>
  <c r="J10" i="29"/>
  <c r="J38" i="20"/>
  <c r="J44" i="27"/>
  <c r="J146" i="12"/>
  <c r="J123" i="17"/>
  <c r="J79" i="4"/>
  <c r="J102" i="28"/>
  <c r="J21" i="15"/>
  <c r="J143" i="27"/>
  <c r="AJ54" i="24"/>
  <c r="J16" i="21"/>
  <c r="J73" i="27"/>
  <c r="J24" i="12"/>
  <c r="AJ94" i="21"/>
  <c r="J99" i="15"/>
  <c r="J25" i="3"/>
  <c r="J141" i="25"/>
  <c r="J177" i="12"/>
  <c r="J38" i="18"/>
  <c r="J6"/>
  <c r="J132" i="19"/>
  <c r="J166" i="10"/>
  <c r="J141" i="2"/>
  <c r="J133" i="9"/>
  <c r="J127" i="18"/>
  <c r="J71" i="33"/>
  <c r="J171" i="21"/>
  <c r="J122" i="26"/>
  <c r="J35" i="15"/>
  <c r="J135" i="19"/>
  <c r="J18"/>
  <c r="J35" i="25"/>
  <c r="J89" i="12"/>
  <c r="J60" i="5"/>
  <c r="J47" i="21"/>
  <c r="J94" i="4"/>
  <c r="J67" i="31"/>
  <c r="J24" i="1"/>
  <c r="J179" i="16"/>
  <c r="J109"/>
  <c r="J127" i="6"/>
  <c r="AJ144" i="21"/>
  <c r="J57" i="25"/>
  <c r="J141" i="1"/>
  <c r="J91" i="30"/>
  <c r="AJ116" i="28"/>
  <c r="J67" i="26"/>
  <c r="J160" i="4"/>
  <c r="J182" i="21"/>
  <c r="J169" i="28"/>
  <c r="J78" i="26"/>
  <c r="J78" i="24"/>
  <c r="J36" i="23"/>
  <c r="J89" i="31"/>
  <c r="J51" i="21"/>
  <c r="J16" i="22"/>
  <c r="J185" i="4"/>
  <c r="J95" i="9"/>
  <c r="J111" i="19"/>
  <c r="J106" i="24"/>
  <c r="J163" i="18"/>
  <c r="J147" i="3"/>
  <c r="AJ49" i="24"/>
  <c r="J3" i="1"/>
  <c r="J98" i="6"/>
  <c r="J159" i="5"/>
  <c r="AJ92" i="28"/>
  <c r="J39" i="23"/>
  <c r="J151" i="32"/>
  <c r="J76" i="19"/>
  <c r="J15" i="30"/>
  <c r="J120" i="24"/>
  <c r="J37" i="6"/>
  <c r="J69" i="24"/>
  <c r="J61" i="9"/>
  <c r="J11" i="24"/>
  <c r="J122" i="33"/>
  <c r="J4" i="25"/>
  <c r="J98" i="11"/>
  <c r="J82" i="24"/>
  <c r="J107" i="4"/>
  <c r="J79" i="5"/>
  <c r="J136" i="1"/>
  <c r="J34" i="11"/>
  <c r="J19" i="1"/>
  <c r="J118" i="31"/>
  <c r="J173" i="23"/>
  <c r="J180" i="1"/>
  <c r="J166" i="26"/>
  <c r="J173" i="9"/>
  <c r="AJ5" i="24"/>
  <c r="J96" i="21"/>
  <c r="J115" i="27"/>
  <c r="J126" i="11"/>
  <c r="J119" i="25"/>
  <c r="J61" i="17"/>
  <c r="AJ14" i="28"/>
  <c r="J146" i="20"/>
  <c r="AJ124"/>
  <c r="AJ16" i="28"/>
  <c r="AJ51" i="32"/>
  <c r="J30" i="26"/>
  <c r="J151" i="22"/>
  <c r="AJ105" i="12"/>
  <c r="AJ135" i="27"/>
  <c r="J142" i="1"/>
  <c r="J152" i="32"/>
  <c r="J89" i="7"/>
  <c r="J167" i="16"/>
  <c r="J42" i="19"/>
  <c r="J72"/>
  <c r="J18" i="29"/>
  <c r="J139" i="4"/>
  <c r="J153" i="22"/>
  <c r="J56" i="1"/>
  <c r="J177" i="27"/>
  <c r="J15" i="22"/>
  <c r="J129" i="30"/>
  <c r="J160" i="9"/>
  <c r="J174"/>
  <c r="J100" i="20"/>
  <c r="J28" i="11"/>
  <c r="J152" i="29"/>
  <c r="J147"/>
  <c r="J136" i="31"/>
  <c r="J94"/>
  <c r="J170" i="3"/>
  <c r="J161" i="30"/>
  <c r="AJ20" i="20"/>
  <c r="J115" i="10"/>
  <c r="AJ106" i="18"/>
  <c r="AJ87" i="20"/>
  <c r="J126" i="25"/>
  <c r="J162" i="6"/>
  <c r="J123" i="30"/>
  <c r="J134" i="19"/>
  <c r="J125" i="7"/>
  <c r="J110" i="11"/>
  <c r="J107" i="26"/>
  <c r="J174" i="27"/>
  <c r="AJ156" i="21"/>
  <c r="J112" i="20"/>
  <c r="J43" i="33"/>
  <c r="J36" i="16"/>
  <c r="J117" i="24"/>
  <c r="J69" i="5"/>
  <c r="J51" i="1"/>
  <c r="J109" i="6"/>
  <c r="J49" i="1"/>
  <c r="J102"/>
  <c r="J29" i="10"/>
  <c r="J47" i="1"/>
  <c r="J40" i="3"/>
  <c r="AJ47" i="9"/>
  <c r="J155" i="32"/>
  <c r="AJ49" i="26"/>
  <c r="J99" i="21"/>
  <c r="J133" i="18"/>
  <c r="J111" i="15"/>
  <c r="J95" i="2"/>
  <c r="J129" i="12"/>
  <c r="J184" i="2"/>
  <c r="J35" i="4"/>
  <c r="J88" i="24"/>
  <c r="J58" i="5"/>
  <c r="J111" i="21"/>
  <c r="J84" i="19"/>
  <c r="J50" i="29"/>
  <c r="J45" i="23"/>
  <c r="J26" i="20"/>
  <c r="AJ58" i="24"/>
  <c r="J49"/>
  <c r="J95" i="21"/>
  <c r="J110" i="24"/>
  <c r="J149" i="4"/>
  <c r="J174" i="24"/>
  <c r="J47"/>
  <c r="J91" i="12"/>
  <c r="J19" i="29"/>
  <c r="J64" i="4"/>
  <c r="AJ130" i="24"/>
  <c r="J161" i="21"/>
  <c r="J165" i="11"/>
  <c r="J132" i="18"/>
  <c r="J115" i="24"/>
  <c r="J50" i="26"/>
  <c r="J142" i="21"/>
  <c r="J170" i="24"/>
  <c r="J131" i="18"/>
  <c r="J91" i="20"/>
  <c r="J111" i="29"/>
  <c r="J93" i="15"/>
  <c r="J34" i="3"/>
  <c r="J130" i="10"/>
  <c r="J54" i="20"/>
  <c r="J180" i="15"/>
  <c r="J119" i="2"/>
  <c r="J23" i="25"/>
  <c r="J72" i="28"/>
  <c r="J151" i="25"/>
  <c r="J40" i="21"/>
  <c r="J79" i="25"/>
  <c r="J154" i="26"/>
  <c r="J93" i="32"/>
  <c r="J24" i="25"/>
  <c r="J85" i="19"/>
  <c r="J173" i="17"/>
  <c r="J24" i="30"/>
  <c r="J59" i="21"/>
  <c r="J44" i="12"/>
  <c r="J80" i="2"/>
  <c r="J130" i="12"/>
  <c r="J107" i="24"/>
  <c r="J166" i="28"/>
  <c r="J148" i="26"/>
  <c r="J162" i="15"/>
  <c r="J100" i="10"/>
  <c r="J171" i="3"/>
  <c r="J97" i="20"/>
  <c r="J182" i="30"/>
  <c r="J42" i="12"/>
  <c r="J50" i="24"/>
  <c r="J122" i="2"/>
  <c r="J16" i="20"/>
  <c r="J38" i="29"/>
  <c r="J63" i="24"/>
  <c r="J131" i="28"/>
  <c r="J5" i="25"/>
  <c r="J174" i="2"/>
  <c r="J39" i="25"/>
  <c r="J107" i="2"/>
  <c r="J34" i="32"/>
  <c r="J172" i="25"/>
  <c r="J126" i="21"/>
  <c r="J176" i="4"/>
  <c r="J122" i="15"/>
  <c r="AJ18" i="24"/>
  <c r="J26" i="10"/>
  <c r="J74" i="15"/>
  <c r="J58" i="9"/>
  <c r="AJ73" i="18"/>
  <c r="J136" i="17"/>
  <c r="J115"/>
  <c r="J130" i="15"/>
  <c r="J50" i="28"/>
  <c r="J108" i="3"/>
  <c r="J182" i="6"/>
  <c r="J26" i="25"/>
  <c r="J45" i="5"/>
  <c r="J49" i="27"/>
  <c r="J146" i="11"/>
  <c r="J141" i="9"/>
  <c r="J174" i="12"/>
  <c r="J6" i="26"/>
  <c r="J52" i="24"/>
  <c r="J117" i="26"/>
  <c r="J101" i="12"/>
  <c r="J176" i="29"/>
  <c r="J101" i="30"/>
  <c r="J87" i="22"/>
  <c r="J77" i="25"/>
  <c r="J79" i="1"/>
  <c r="J20" i="25"/>
  <c r="J157" i="24"/>
  <c r="J149" i="28"/>
  <c r="J131" i="20"/>
  <c r="J54" i="11"/>
  <c r="J109" i="28"/>
  <c r="J110" i="19"/>
  <c r="J60" i="33"/>
  <c r="J19" i="22"/>
  <c r="J85" i="30"/>
  <c r="J66" i="28"/>
  <c r="J174" i="17"/>
  <c r="J137" i="25"/>
  <c r="J171" i="4"/>
  <c r="J140" i="15"/>
  <c r="J67" i="3"/>
  <c r="J97" i="10"/>
  <c r="J120" i="31"/>
  <c r="J126" i="4"/>
  <c r="J101" i="24"/>
  <c r="J126" i="31"/>
  <c r="J169" i="26"/>
  <c r="J84" i="9"/>
  <c r="J147" i="10"/>
  <c r="J118" i="12"/>
  <c r="J154" i="32"/>
  <c r="J39" i="18"/>
  <c r="J108" i="6"/>
  <c r="J169" i="18"/>
  <c r="J185" i="27"/>
  <c r="J123" i="2"/>
  <c r="J108"/>
  <c r="J80" i="27"/>
  <c r="J107" i="33"/>
  <c r="J19" i="2"/>
  <c r="J162" i="7"/>
  <c r="J146" i="6"/>
  <c r="AJ54" i="21"/>
  <c r="J3" i="11"/>
  <c r="J132" i="6"/>
  <c r="AJ123" i="21"/>
  <c r="J16" i="12"/>
  <c r="J120" i="10"/>
  <c r="J98" i="26"/>
  <c r="J93" i="21"/>
  <c r="J159" i="24"/>
  <c r="J106" i="2"/>
  <c r="J166" i="25"/>
  <c r="J10" i="2"/>
  <c r="J182" i="18"/>
  <c r="J172" i="33"/>
  <c r="J98" i="24"/>
  <c r="J158" i="30"/>
  <c r="J73" i="15"/>
  <c r="J128"/>
  <c r="J127" i="16"/>
  <c r="J137"/>
  <c r="J125" i="2"/>
  <c r="J145" i="18"/>
  <c r="J8" i="15"/>
  <c r="AJ166" i="24"/>
  <c r="J73" i="9"/>
  <c r="J123" i="3"/>
  <c r="J171" i="33"/>
  <c r="J69" i="21"/>
  <c r="AJ63" i="28"/>
  <c r="J35" i="21"/>
  <c r="J33" i="30"/>
  <c r="J86" i="27"/>
  <c r="J96" i="9"/>
  <c r="J99" i="20"/>
  <c r="J96" i="11"/>
  <c r="J170" i="7"/>
  <c r="J130" i="19"/>
  <c r="J13" i="22"/>
  <c r="J135" i="26"/>
  <c r="J128" i="25"/>
  <c r="J10" i="17"/>
  <c r="J43" i="1"/>
  <c r="J40" i="19"/>
  <c r="J9" i="25"/>
  <c r="J11" i="15"/>
  <c r="J94" i="12"/>
  <c r="J33" i="26"/>
  <c r="J53" i="7"/>
  <c r="J140" i="5"/>
  <c r="AJ59" i="26"/>
  <c r="J53" i="11"/>
  <c r="J79" i="32"/>
  <c r="AJ182" i="29"/>
  <c r="AJ123" i="20"/>
  <c r="J79" i="30"/>
  <c r="J147" i="21"/>
  <c r="J66" i="19"/>
  <c r="J177"/>
  <c r="AJ6" i="33"/>
  <c r="J172" i="10"/>
  <c r="AJ170" i="20"/>
  <c r="AJ78" i="28"/>
  <c r="AJ159" i="5"/>
  <c r="J173" i="2"/>
  <c r="J33" i="17"/>
  <c r="AJ143" i="12"/>
  <c r="AJ152" i="27"/>
  <c r="J14" i="30"/>
  <c r="J35" i="11"/>
  <c r="AJ43" i="26"/>
  <c r="J99" i="12"/>
  <c r="AJ100" i="26"/>
  <c r="J115" i="3"/>
  <c r="J178" i="28"/>
  <c r="J40" i="32"/>
  <c r="J9"/>
  <c r="J178" i="21"/>
  <c r="AJ59" i="28"/>
  <c r="J30" i="20"/>
  <c r="J117" i="16"/>
  <c r="J134" i="3"/>
  <c r="J108" i="16"/>
  <c r="J137" i="28"/>
  <c r="J177" i="30"/>
  <c r="AJ54" i="28"/>
  <c r="AJ105" i="18"/>
  <c r="J171" i="31"/>
  <c r="J3" i="10"/>
  <c r="J24" i="22"/>
  <c r="J31" i="32"/>
  <c r="J45" i="4"/>
  <c r="J76" i="29"/>
  <c r="J5" i="26"/>
  <c r="J155" i="16"/>
  <c r="J35"/>
  <c r="J13" i="19"/>
  <c r="AJ6" i="24"/>
  <c r="J182" i="33"/>
  <c r="J177" i="1"/>
  <c r="J122" i="21"/>
  <c r="J180" i="23"/>
  <c r="J59" i="17"/>
  <c r="J157" i="12"/>
  <c r="J54" i="15"/>
  <c r="J13" i="5"/>
  <c r="J127" i="30"/>
  <c r="J40" i="31"/>
  <c r="AJ104" i="18"/>
  <c r="J150" i="20"/>
  <c r="AJ80" i="4"/>
  <c r="AJ180" i="18"/>
  <c r="AJ183" i="17"/>
  <c r="J11" i="9"/>
  <c r="J144" i="25"/>
  <c r="J173" i="12"/>
  <c r="J135" i="2"/>
  <c r="J30" i="24"/>
  <c r="J158" i="4"/>
  <c r="J88" i="18"/>
  <c r="J34" i="4"/>
  <c r="J29" i="12"/>
  <c r="J107" i="7"/>
  <c r="J165" i="29"/>
  <c r="AJ41" i="24"/>
  <c r="J42" i="15"/>
  <c r="J8" i="22"/>
  <c r="J159" i="12"/>
  <c r="J131" i="33"/>
  <c r="J56" i="4"/>
  <c r="J122" i="12"/>
  <c r="J33" i="25"/>
  <c r="J163" i="2"/>
  <c r="J72" i="20"/>
  <c r="J185" i="2"/>
  <c r="J171" i="26"/>
  <c r="J173" i="18"/>
  <c r="J147" i="24"/>
  <c r="J122" i="28"/>
  <c r="J152" i="21"/>
  <c r="J52" i="27"/>
  <c r="J160" i="20"/>
  <c r="J99" i="29"/>
  <c r="J176" i="24"/>
  <c r="J113" i="26"/>
  <c r="J57" i="21"/>
  <c r="J92" i="12"/>
  <c r="J165" i="15"/>
  <c r="J121" i="24"/>
  <c r="J18" i="17"/>
  <c r="J165" i="12"/>
  <c r="J181"/>
  <c r="J185" i="18"/>
  <c r="J5" i="21"/>
  <c r="J153" i="20"/>
  <c r="J81" i="10"/>
  <c r="J45" i="12"/>
  <c r="J134"/>
  <c r="J79" i="26"/>
  <c r="J148" i="18"/>
  <c r="J91" i="21"/>
  <c r="J172" i="26"/>
  <c r="AJ163" i="24"/>
  <c r="J107" i="1"/>
  <c r="J161" i="10"/>
  <c r="J87" i="6"/>
  <c r="J106" i="28"/>
  <c r="J86" i="4"/>
  <c r="J80" i="26"/>
  <c r="J159" i="4"/>
  <c r="J11"/>
  <c r="J139" i="18"/>
  <c r="J59" i="25"/>
  <c r="J121" i="20"/>
  <c r="J127" i="21"/>
  <c r="J61" i="20"/>
  <c r="J77" i="28"/>
  <c r="AJ69" i="24"/>
  <c r="J36" i="20"/>
  <c r="J123" i="12"/>
  <c r="J44" i="29"/>
  <c r="J61" i="4"/>
  <c r="J18" i="28"/>
  <c r="J112" i="21"/>
  <c r="J181" i="10"/>
  <c r="J146" i="33"/>
  <c r="J57" i="12"/>
  <c r="J145"/>
  <c r="J78" i="2"/>
  <c r="AJ143" i="24"/>
  <c r="J181" i="21"/>
  <c r="J161" i="26"/>
  <c r="J78" i="18"/>
  <c r="J5" i="5"/>
  <c r="J72" i="27"/>
  <c r="J113" i="12"/>
  <c r="J126" i="32"/>
  <c r="J171" i="9"/>
  <c r="J140" i="23"/>
  <c r="J109" i="2"/>
  <c r="J69" i="32"/>
  <c r="J18" i="25"/>
  <c r="J160" i="28"/>
  <c r="J172" i="22"/>
  <c r="J148" i="17"/>
  <c r="J129" i="29"/>
  <c r="J133" i="1"/>
  <c r="J114" i="3"/>
  <c r="J162" i="16"/>
  <c r="J181" i="32"/>
  <c r="J99"/>
  <c r="J165" i="4"/>
  <c r="J98" i="19"/>
  <c r="J161" i="33"/>
  <c r="J44" i="23"/>
  <c r="J76" i="12"/>
  <c r="J144" i="30"/>
  <c r="J57" i="6"/>
  <c r="J100" i="15"/>
  <c r="J154" i="23"/>
  <c r="J108" i="12"/>
  <c r="J179"/>
  <c r="J109" i="10"/>
  <c r="J150" i="19"/>
  <c r="J165" i="27"/>
  <c r="J102" i="12"/>
  <c r="J112" i="22"/>
  <c r="J135" i="28"/>
  <c r="J65" i="17"/>
  <c r="J16" i="16"/>
  <c r="AJ113" i="2"/>
  <c r="J64" i="20"/>
  <c r="J130" i="18"/>
  <c r="J86" i="23"/>
  <c r="J179" i="1"/>
  <c r="J145" i="22"/>
  <c r="J146" i="32"/>
  <c r="AJ180" i="24"/>
  <c r="J116" i="23"/>
  <c r="AJ3" i="2"/>
  <c r="J79" i="7"/>
  <c r="J169" i="4"/>
  <c r="J43" i="2"/>
  <c r="J31" i="25"/>
  <c r="J10" i="12"/>
  <c r="J154" i="2"/>
  <c r="J11" i="11"/>
  <c r="J79" i="10"/>
  <c r="J71" i="21"/>
  <c r="J5" i="29"/>
  <c r="J147" i="26"/>
  <c r="J152" i="12"/>
  <c r="J5" i="23"/>
  <c r="J9" i="5"/>
  <c r="J8" i="16"/>
  <c r="J25" i="1"/>
  <c r="J179" i="27"/>
  <c r="J176" i="15"/>
  <c r="J117" i="17"/>
  <c r="J184" i="18"/>
  <c r="J40" i="11"/>
  <c r="J159" i="33"/>
  <c r="J178" i="5"/>
  <c r="J4" i="21"/>
  <c r="J128"/>
  <c r="J77" i="24"/>
  <c r="J69" i="6"/>
  <c r="J25" i="29"/>
  <c r="J85" i="21"/>
  <c r="J93" i="19"/>
  <c r="J162" i="23"/>
  <c r="J135" i="18"/>
  <c r="J139" i="33"/>
  <c r="J153" i="12"/>
  <c r="J10" i="5"/>
  <c r="J101" i="1"/>
  <c r="J52" i="21"/>
  <c r="AJ26" i="12"/>
  <c r="J125" i="28"/>
  <c r="J160" i="18"/>
  <c r="J53" i="23"/>
  <c r="AJ112" i="28"/>
  <c r="J141" i="24"/>
  <c r="J92" i="2"/>
  <c r="J23" i="17"/>
  <c r="J112" i="6"/>
  <c r="J178" i="20"/>
  <c r="J13" i="33"/>
  <c r="J159" i="7"/>
  <c r="J167" i="22"/>
  <c r="J13" i="12"/>
  <c r="J73" i="31"/>
  <c r="J159" i="17"/>
  <c r="J91" i="2"/>
  <c r="J144" i="7"/>
  <c r="J36" i="3"/>
  <c r="AJ128" i="26"/>
  <c r="J129" i="24"/>
  <c r="AJ159"/>
  <c r="AJ160" i="21"/>
  <c r="J74" i="16"/>
  <c r="J100" i="1"/>
  <c r="J125" i="9"/>
  <c r="J167" i="3"/>
  <c r="J181" i="20"/>
  <c r="J98" i="3"/>
  <c r="AJ158" i="4"/>
  <c r="J53" i="15"/>
  <c r="J118" i="16"/>
  <c r="J49" i="7"/>
  <c r="AJ64" i="2"/>
  <c r="J147" i="5"/>
  <c r="AJ28" i="21"/>
  <c r="AJ3" i="20"/>
  <c r="J19" i="6"/>
  <c r="AJ64" i="33"/>
  <c r="AJ85"/>
  <c r="J31" i="9"/>
  <c r="J113" i="3"/>
  <c r="J144" i="22"/>
  <c r="J87" i="29"/>
  <c r="J146" i="19"/>
  <c r="J88" i="16"/>
  <c r="AJ89" i="10"/>
  <c r="J148" i="28"/>
  <c r="J130" i="4"/>
  <c r="J157" i="32"/>
  <c r="J5" i="11"/>
  <c r="AJ162" i="24"/>
  <c r="J109" i="31"/>
  <c r="J119" i="3"/>
  <c r="AJ38" i="12"/>
  <c r="J10" i="11"/>
  <c r="J99" i="10"/>
  <c r="J31" i="3"/>
  <c r="J86" i="1"/>
  <c r="J31" i="17"/>
  <c r="J140" i="33"/>
  <c r="AJ154" i="2"/>
  <c r="J14" i="6"/>
  <c r="AJ92" i="24"/>
  <c r="J47" i="7"/>
  <c r="AJ135" i="21"/>
  <c r="J152" i="30"/>
  <c r="AJ68" i="12"/>
  <c r="AJ37" i="2"/>
  <c r="J144" i="31"/>
  <c r="AJ60" i="10"/>
  <c r="J155" i="19"/>
  <c r="J74" i="33"/>
  <c r="J147" i="12"/>
  <c r="J80" i="5"/>
  <c r="J131" i="30"/>
  <c r="J89" i="18"/>
  <c r="J58" i="27"/>
  <c r="AJ159" i="26"/>
  <c r="J152" i="28"/>
  <c r="J88" i="11"/>
  <c r="J173" i="6"/>
  <c r="J131" i="3"/>
  <c r="J152" i="5"/>
  <c r="AJ178" i="26"/>
  <c r="AJ114" i="12"/>
  <c r="J123" i="27"/>
  <c r="J71" i="22"/>
  <c r="AJ26" i="10"/>
  <c r="AJ176" i="20"/>
  <c r="J132" i="32"/>
  <c r="AJ122" i="22"/>
  <c r="AJ182" i="17"/>
  <c r="AJ143" i="2"/>
  <c r="J75" i="29"/>
  <c r="J180" i="28"/>
  <c r="J119" i="29"/>
  <c r="J52" i="25"/>
  <c r="J110" i="10"/>
  <c r="J158" i="12"/>
  <c r="J6" i="4"/>
  <c r="J137" i="2"/>
  <c r="J72" i="23"/>
  <c r="J157" i="1"/>
  <c r="J139" i="7"/>
  <c r="J23"/>
  <c r="J165" i="24"/>
  <c r="J166" i="9"/>
  <c r="J170" i="10"/>
  <c r="J127" i="7"/>
  <c r="J71" i="29"/>
  <c r="J171" i="28"/>
  <c r="J111" i="10"/>
  <c r="J11" i="12"/>
  <c r="J14" i="26"/>
  <c r="J69" i="12"/>
  <c r="J26" i="21"/>
  <c r="J29" i="25"/>
  <c r="J13" i="2"/>
  <c r="J45" i="17"/>
  <c r="J114" i="26"/>
  <c r="J167" i="6"/>
  <c r="J33" i="24"/>
  <c r="J142" i="15"/>
  <c r="J136"/>
  <c r="J139" i="12"/>
  <c r="J9" i="26"/>
  <c r="J184" i="29"/>
  <c r="J21" i="21"/>
  <c r="J158" i="2"/>
  <c r="J152" i="18"/>
  <c r="J72" i="7"/>
  <c r="J111" i="4"/>
  <c r="J184" i="17"/>
  <c r="J75" i="10"/>
  <c r="J141" i="18"/>
  <c r="J44" i="15"/>
  <c r="J5" i="2"/>
  <c r="J126" i="10"/>
  <c r="J143" i="26"/>
  <c r="J86" i="21"/>
  <c r="J119"/>
  <c r="J36" i="29"/>
  <c r="J9" i="30"/>
  <c r="J136" i="10"/>
  <c r="J65" i="33"/>
  <c r="J163" i="20"/>
  <c r="J47" i="15"/>
  <c r="J184"/>
  <c r="J40" i="18"/>
  <c r="J81" i="24"/>
  <c r="J181"/>
  <c r="J181" i="25"/>
  <c r="J162" i="20"/>
  <c r="J132" i="25"/>
  <c r="J113" i="17"/>
  <c r="J153" i="25"/>
  <c r="J78" i="1"/>
  <c r="J30" i="28"/>
  <c r="J152" i="25"/>
  <c r="J37" i="24"/>
  <c r="J91" i="18"/>
  <c r="J132" i="21"/>
  <c r="J63"/>
  <c r="J119" i="30"/>
  <c r="J34" i="26"/>
  <c r="J149" i="6"/>
  <c r="J80"/>
  <c r="J24" i="2"/>
  <c r="J117" i="33"/>
  <c r="J84" i="24"/>
  <c r="J16" i="15"/>
  <c r="J20" i="2"/>
  <c r="J128" i="33"/>
  <c r="J140" i="21"/>
  <c r="J160" i="29"/>
  <c r="J77" i="11"/>
  <c r="J129" i="20"/>
  <c r="J171" i="25"/>
  <c r="J60" i="12"/>
  <c r="J50" i="16"/>
  <c r="J167" i="24"/>
  <c r="J88" i="4"/>
  <c r="J176" i="6"/>
  <c r="J181" i="18"/>
  <c r="J14" i="4"/>
  <c r="J136" i="28"/>
  <c r="J40" i="26"/>
  <c r="J33" i="6"/>
  <c r="J140" i="27"/>
  <c r="J177" i="31"/>
  <c r="J39" i="29"/>
  <c r="J29" i="18"/>
  <c r="J28" i="25"/>
  <c r="J154" i="31"/>
  <c r="J108" i="20"/>
  <c r="J44" i="32"/>
  <c r="J44" i="31"/>
  <c r="J181" i="22"/>
  <c r="J107" i="17"/>
  <c r="J49" i="10"/>
  <c r="J110" i="18"/>
  <c r="J75" i="25"/>
  <c r="J50" i="15"/>
  <c r="J4" i="12"/>
  <c r="J29" i="19"/>
  <c r="J149" i="12"/>
  <c r="J69" i="15"/>
  <c r="J54" i="31"/>
  <c r="J29" i="4"/>
  <c r="J143" i="9"/>
  <c r="J177" i="4"/>
  <c r="J24" i="21"/>
  <c r="J71" i="20"/>
  <c r="J86" i="10"/>
  <c r="J80" i="17"/>
  <c r="J93" i="4"/>
  <c r="J132" i="3"/>
  <c r="J44" i="7"/>
  <c r="J61" i="12"/>
  <c r="J56" i="31"/>
  <c r="J147" i="23"/>
  <c r="J26" i="24"/>
  <c r="J35" i="29"/>
  <c r="J51" i="28"/>
  <c r="J13" i="26"/>
  <c r="J38" i="3"/>
  <c r="J40" i="33"/>
  <c r="J178" i="17"/>
  <c r="J113" i="27"/>
  <c r="J39" i="1"/>
  <c r="J110" i="28"/>
  <c r="J117" i="19"/>
  <c r="J87" i="23"/>
  <c r="J92" i="26"/>
  <c r="J60" i="7"/>
  <c r="J174" i="3"/>
  <c r="AJ58" i="12"/>
  <c r="J79" i="21"/>
  <c r="J158" i="22"/>
  <c r="J144" i="1"/>
  <c r="AJ28" i="29"/>
  <c r="J80" i="19"/>
  <c r="J166" i="29"/>
  <c r="J52" i="26"/>
  <c r="J102" i="29"/>
  <c r="J106" i="7"/>
  <c r="J67" i="33"/>
  <c r="J165" i="32"/>
  <c r="AJ102" i="24"/>
  <c r="J93" i="7"/>
  <c r="J179" i="15"/>
  <c r="J163" i="30"/>
  <c r="J25" i="10"/>
  <c r="J89" i="11"/>
  <c r="J76" i="24"/>
  <c r="J77" i="22"/>
  <c r="J151" i="17"/>
  <c r="J60"/>
  <c r="J169" i="25"/>
  <c r="J82" i="22"/>
  <c r="J42" i="23"/>
  <c r="AJ138" i="12"/>
  <c r="J106" i="9"/>
  <c r="J151" i="12"/>
  <c r="AJ112"/>
  <c r="AJ183" i="24"/>
  <c r="J16" i="7"/>
  <c r="J183" i="11"/>
  <c r="AJ52" i="21"/>
  <c r="J158" i="16"/>
  <c r="J150" i="3"/>
  <c r="J161" i="7"/>
  <c r="AJ185" i="21"/>
  <c r="J61" i="24"/>
  <c r="J146" i="3"/>
  <c r="J42" i="32"/>
  <c r="J21" i="4"/>
  <c r="AJ160" i="26"/>
  <c r="AJ69" i="28"/>
  <c r="J168" i="20"/>
  <c r="J61" i="26"/>
  <c r="J73" i="19"/>
  <c r="AJ32" i="26"/>
  <c r="J53" i="4"/>
  <c r="J5" i="18"/>
  <c r="J109" i="17"/>
  <c r="J123" i="10"/>
  <c r="J29" i="30"/>
  <c r="J64" i="25"/>
  <c r="J125" i="17"/>
  <c r="J35" i="1"/>
  <c r="J21" i="16"/>
  <c r="J101" i="7"/>
  <c r="AJ65" i="24"/>
  <c r="AJ75" i="21"/>
  <c r="AJ70" i="28"/>
  <c r="J177" i="9"/>
  <c r="AJ152" i="12"/>
  <c r="J89" i="24"/>
  <c r="AJ87" i="21"/>
  <c r="AJ21" i="18"/>
  <c r="J67" i="10"/>
  <c r="AJ132"/>
  <c r="AJ92" i="33"/>
  <c r="AJ98" i="4"/>
  <c r="J43" i="6"/>
  <c r="J84" i="32"/>
  <c r="J126" i="7"/>
  <c r="J176" i="12"/>
  <c r="J51" i="19"/>
  <c r="AJ104" i="20"/>
  <c r="J37"/>
  <c r="J147" i="16"/>
  <c r="J58" i="11"/>
  <c r="AJ23" i="26"/>
  <c r="J150" i="11"/>
  <c r="J50" i="18"/>
  <c r="AJ46" i="28"/>
  <c r="J168" i="10"/>
  <c r="J146" i="23"/>
  <c r="J151" i="5"/>
  <c r="J146" i="27"/>
  <c r="J65" i="1"/>
  <c r="J77" i="6"/>
  <c r="J161" i="5"/>
  <c r="AJ114" i="21"/>
  <c r="AJ66" i="24"/>
  <c r="J15" i="10"/>
  <c r="J173" i="21"/>
  <c r="J42" i="28"/>
  <c r="AJ101" i="24"/>
  <c r="J161" i="9"/>
  <c r="J115" i="12"/>
  <c r="J10" i="32"/>
  <c r="J14" i="7"/>
  <c r="J160" i="3"/>
  <c r="J73" i="5"/>
  <c r="J102" i="22"/>
  <c r="J108" i="26"/>
  <c r="J181" i="2"/>
  <c r="J168" i="6"/>
  <c r="AJ94" i="24"/>
  <c r="AJ167" i="12"/>
  <c r="AJ7" i="2"/>
  <c r="AJ22" i="18"/>
  <c r="J167"/>
  <c r="J8" i="10"/>
  <c r="J81" i="27"/>
  <c r="J167" i="31"/>
  <c r="J18" i="20"/>
  <c r="J82" i="21"/>
  <c r="J50" i="9"/>
  <c r="J53" i="6"/>
  <c r="J136" i="12"/>
  <c r="J77" i="18"/>
  <c r="J98" i="2"/>
  <c r="J128" i="28"/>
  <c r="J171" i="2"/>
  <c r="J181" i="15"/>
  <c r="J23" i="18"/>
  <c r="J13" i="11"/>
  <c r="J158" i="21"/>
  <c r="J52" i="2"/>
  <c r="J151" i="28"/>
  <c r="J158" i="24"/>
  <c r="J13" i="18"/>
  <c r="J134" i="31"/>
  <c r="J152" i="24"/>
  <c r="J10" i="4"/>
  <c r="J68" i="12"/>
  <c r="J68" i="26"/>
  <c r="J39" i="12"/>
  <c r="AJ31" i="24"/>
  <c r="J95" i="29"/>
  <c r="J18" i="1"/>
  <c r="J54" i="12"/>
  <c r="J140" i="25"/>
  <c r="J14" i="24"/>
  <c r="J81" i="20"/>
  <c r="J115" i="25"/>
  <c r="AJ95" i="24"/>
  <c r="J157" i="10"/>
  <c r="J101" i="2"/>
  <c r="J18" i="4"/>
  <c r="J107" i="10"/>
  <c r="J101" i="9"/>
  <c r="J128" i="22"/>
  <c r="J35" i="20"/>
  <c r="J114" i="30"/>
  <c r="J135" i="20"/>
  <c r="J10" i="30"/>
  <c r="J67" i="27"/>
  <c r="J184" i="10"/>
  <c r="J6" i="31"/>
  <c r="J79" i="6"/>
  <c r="J155" i="31"/>
  <c r="J85" i="29"/>
  <c r="J37" i="25"/>
  <c r="J153" i="26"/>
  <c r="J147" i="20"/>
  <c r="J113" i="18"/>
  <c r="J24" i="11"/>
  <c r="J5" i="4"/>
  <c r="J4" i="26"/>
  <c r="J174" i="29"/>
  <c r="J168" i="7"/>
  <c r="J95" i="33"/>
  <c r="J37" i="5"/>
  <c r="J174" i="4"/>
  <c r="J122" i="9"/>
  <c r="AJ53" i="24"/>
  <c r="J20" i="28"/>
  <c r="J10" i="24"/>
  <c r="J24" i="20"/>
  <c r="J169" i="10"/>
  <c r="J166" i="17"/>
  <c r="J18" i="33"/>
  <c r="J91" i="7"/>
  <c r="J18" i="27"/>
  <c r="J59" i="7"/>
  <c r="J167" i="32"/>
  <c r="J181" i="1"/>
  <c r="AJ21" i="21"/>
  <c r="J19" i="28"/>
  <c r="J85" i="24"/>
  <c r="J24" i="26"/>
  <c r="J180" i="5"/>
  <c r="J182" i="4"/>
  <c r="J31" i="22"/>
  <c r="J133" i="29"/>
  <c r="AJ105" i="28"/>
  <c r="J126" i="5"/>
  <c r="J92" i="23"/>
  <c r="J159" i="18"/>
  <c r="J126" i="30"/>
  <c r="J128" i="16"/>
  <c r="AJ146" i="12"/>
  <c r="J119" i="33"/>
  <c r="AJ181" i="12"/>
  <c r="J179" i="5"/>
  <c r="J60" i="26"/>
  <c r="J80" i="16"/>
  <c r="J182" i="17"/>
  <c r="J146" i="26"/>
  <c r="J49" i="9"/>
  <c r="J6" i="7"/>
  <c r="AJ76" i="21"/>
  <c r="AJ81" i="26"/>
  <c r="J94" i="23"/>
  <c r="J88" i="33"/>
  <c r="J67" i="32"/>
  <c r="AJ13" i="33"/>
  <c r="AJ78" i="20"/>
  <c r="AJ98" i="5"/>
  <c r="AJ95" i="18"/>
  <c r="J42" i="22"/>
  <c r="J117" i="5"/>
  <c r="J34" i="7"/>
  <c r="J148" i="22"/>
  <c r="J68" i="18"/>
  <c r="J75" i="6"/>
  <c r="J31" i="26"/>
  <c r="AJ67" i="12"/>
  <c r="J181" i="27"/>
  <c r="AJ55" i="24"/>
  <c r="J96" i="12"/>
  <c r="AJ154"/>
  <c r="AJ30" i="24"/>
  <c r="J125" i="15"/>
  <c r="AJ103" i="28"/>
  <c r="J86" i="25"/>
  <c r="J76" i="33"/>
  <c r="J11" i="6"/>
  <c r="AJ131" i="4"/>
  <c r="AJ134" i="17"/>
  <c r="J3" i="19"/>
  <c r="J15" i="18"/>
  <c r="J120" i="19"/>
  <c r="J91" i="5"/>
  <c r="J97" i="19"/>
  <c r="AJ162" i="26"/>
  <c r="AJ98" i="28"/>
  <c r="AJ7"/>
  <c r="AJ6" i="10"/>
  <c r="J171" i="27"/>
  <c r="AJ21" i="28"/>
  <c r="J174" i="21"/>
  <c r="J50" i="11"/>
  <c r="AJ88" i="12"/>
  <c r="J80" i="7"/>
  <c r="AJ102" i="4"/>
  <c r="J81" i="2"/>
  <c r="J26" i="12"/>
  <c r="J126" i="22"/>
  <c r="J121" i="16"/>
  <c r="J3" i="22"/>
  <c r="J159" i="9"/>
  <c r="AJ167" i="20"/>
  <c r="J185" i="12"/>
  <c r="J78" i="7"/>
  <c r="J84" i="16"/>
  <c r="J129" i="22"/>
  <c r="J43" i="9"/>
  <c r="AJ135" i="2"/>
  <c r="AJ136" i="24"/>
  <c r="AJ132" i="26"/>
  <c r="J154" i="27"/>
  <c r="AJ109" i="2"/>
  <c r="J78" i="19"/>
  <c r="J131" i="1"/>
  <c r="J185" i="17"/>
  <c r="J152" i="3"/>
  <c r="J128" i="17"/>
  <c r="AJ14" i="20"/>
  <c r="AJ26"/>
  <c r="AJ112" i="29"/>
  <c r="J114" i="1"/>
  <c r="J116" i="12"/>
  <c r="J123" i="18"/>
  <c r="J56" i="32"/>
  <c r="J38" i="10"/>
  <c r="J166" i="6"/>
  <c r="AJ20" i="24"/>
  <c r="J9" i="29"/>
  <c r="J81" i="9"/>
  <c r="J34" i="23"/>
  <c r="J51" i="20"/>
  <c r="J149" i="22"/>
  <c r="J75" i="32"/>
  <c r="J34" i="24"/>
  <c r="J24" i="7"/>
  <c r="J115" i="9"/>
  <c r="J26" i="5"/>
  <c r="J79" i="22"/>
  <c r="AJ31" i="2"/>
  <c r="J37" i="21"/>
  <c r="AJ31"/>
  <c r="AJ46" i="2"/>
  <c r="AJ27" i="23"/>
  <c r="J108" i="33"/>
  <c r="J121" i="3"/>
  <c r="J178" i="30"/>
  <c r="AJ171" i="6"/>
  <c r="J76" i="30"/>
  <c r="J158" i="32"/>
  <c r="AJ151" i="18"/>
  <c r="J148" i="11"/>
  <c r="J134" i="30"/>
  <c r="J97" i="33"/>
  <c r="J179" i="4"/>
  <c r="J71"/>
  <c r="J173" i="11"/>
  <c r="J96" i="3"/>
  <c r="AJ168" i="4"/>
  <c r="J128" i="23"/>
  <c r="J159" i="3"/>
  <c r="J75" i="11"/>
  <c r="AJ4" i="12"/>
  <c r="J6" i="1"/>
  <c r="J145" i="4"/>
  <c r="AJ6" i="20"/>
  <c r="AJ169" i="24"/>
  <c r="AJ126"/>
  <c r="J92" i="32"/>
  <c r="J63" i="16"/>
  <c r="J46" i="17"/>
  <c r="AJ36" i="18"/>
  <c r="J123" i="22"/>
  <c r="J71" i="27"/>
  <c r="AJ66" i="7"/>
  <c r="AJ106" i="3"/>
  <c r="AJ90" i="26"/>
  <c r="AJ53"/>
  <c r="J107" i="16"/>
  <c r="J87" i="4"/>
  <c r="J167" i="27"/>
  <c r="AJ183" i="12"/>
  <c r="AJ103" i="7"/>
  <c r="J100" i="24"/>
  <c r="J133" i="30"/>
  <c r="AJ163" i="26"/>
  <c r="AJ20" i="7"/>
  <c r="J180" i="3"/>
  <c r="J152" i="20"/>
  <c r="AJ76"/>
  <c r="J97" i="9"/>
  <c r="J16" i="17"/>
  <c r="AJ107" i="22"/>
  <c r="J97" i="17"/>
  <c r="J100" i="32"/>
  <c r="AJ158" i="18"/>
  <c r="AJ180" i="26"/>
  <c r="J94" i="5"/>
  <c r="J33" i="10"/>
  <c r="AJ145" i="32"/>
  <c r="AJ170" i="5"/>
  <c r="AJ141" i="26"/>
  <c r="J132" i="22"/>
  <c r="J61" i="27"/>
  <c r="J120" i="29"/>
  <c r="AJ161" i="2"/>
  <c r="J18" i="9"/>
  <c r="AJ50" i="24"/>
  <c r="J131" i="23"/>
  <c r="J30" i="10"/>
  <c r="AJ109" i="29"/>
  <c r="J77" i="23"/>
  <c r="J106" i="27"/>
  <c r="J14" i="15"/>
  <c r="J21" i="30"/>
  <c r="AJ120" i="28"/>
  <c r="AJ163"/>
  <c r="J117" i="11"/>
  <c r="AJ58" i="33"/>
  <c r="J167" i="19"/>
  <c r="AJ103" i="29"/>
  <c r="AJ170" i="1"/>
  <c r="AJ182" i="12"/>
  <c r="AJ134" i="22"/>
  <c r="AJ83" i="30"/>
  <c r="AJ181" i="21"/>
  <c r="J144" i="27"/>
  <c r="J28" i="12"/>
  <c r="AJ166" i="20"/>
  <c r="AJ155" i="32"/>
  <c r="AJ168" i="28"/>
  <c r="AJ175" i="12"/>
  <c r="AJ144" i="26"/>
  <c r="AJ96" i="17"/>
  <c r="J85" i="26"/>
  <c r="J86" i="32"/>
  <c r="AJ51" i="28"/>
  <c r="J78" i="10"/>
  <c r="J129" i="27"/>
  <c r="AJ129" i="4"/>
  <c r="AJ63" i="24"/>
  <c r="J67" i="12"/>
  <c r="AJ17" i="33"/>
  <c r="J85" i="5"/>
  <c r="J52" i="11"/>
  <c r="J129" i="3"/>
  <c r="AJ139" i="18"/>
  <c r="AJ20" i="23"/>
  <c r="AJ64" i="20"/>
  <c r="AJ137" i="5"/>
  <c r="J114" i="20"/>
  <c r="J158" i="19"/>
  <c r="AJ179" i="12"/>
  <c r="J15" i="29"/>
  <c r="AJ129" i="3"/>
  <c r="J157" i="16"/>
  <c r="AJ57" i="28"/>
  <c r="AJ125" i="20"/>
  <c r="AJ170" i="10"/>
  <c r="AJ133" i="21"/>
  <c r="AJ178" i="9"/>
  <c r="AJ71" i="26"/>
  <c r="J177" i="22"/>
  <c r="J20" i="30"/>
  <c r="J21" i="32"/>
  <c r="AJ138" i="24"/>
  <c r="J14" i="28"/>
  <c r="J133" i="22"/>
  <c r="AJ75" i="18"/>
  <c r="J107" i="29"/>
  <c r="J4" i="7"/>
  <c r="AJ83" i="21"/>
  <c r="J4" i="9"/>
  <c r="J184" i="24"/>
  <c r="AJ8" i="10"/>
  <c r="AJ90" i="24"/>
  <c r="AJ176" i="17"/>
  <c r="J25" i="11"/>
  <c r="AJ57" i="2"/>
  <c r="AJ87" i="3"/>
  <c r="AJ12" i="4"/>
  <c r="AJ6" i="5"/>
  <c r="J54" i="6"/>
  <c r="J37" i="2"/>
  <c r="J23" i="11"/>
  <c r="J25" i="19"/>
  <c r="AJ52" i="7"/>
  <c r="J26" i="15"/>
  <c r="AJ175" i="18"/>
  <c r="J181" i="17"/>
  <c r="AJ4" i="29"/>
  <c r="J18" i="32"/>
  <c r="AJ36" i="9"/>
  <c r="J177" i="15"/>
  <c r="J160" i="11"/>
  <c r="J30" i="7"/>
  <c r="J77" i="19"/>
  <c r="J154" i="22"/>
  <c r="J97" i="26"/>
  <c r="J95" i="25"/>
  <c r="J119" i="17"/>
  <c r="J88" i="26"/>
  <c r="J178" i="9"/>
  <c r="J185" i="32"/>
  <c r="J66" i="5"/>
  <c r="J158" i="25"/>
  <c r="AJ40" i="2"/>
  <c r="AJ8" i="12"/>
  <c r="AJ71" i="22"/>
  <c r="J77" i="9"/>
  <c r="AJ106" i="21"/>
  <c r="AJ80" i="7"/>
  <c r="AJ141" i="21"/>
  <c r="AJ54" i="17"/>
  <c r="J111" i="20"/>
  <c r="J33" i="23"/>
  <c r="AJ81" i="10"/>
  <c r="J54" i="24"/>
  <c r="AJ113" i="10"/>
  <c r="AJ152" i="11"/>
  <c r="AJ96" i="2"/>
  <c r="AJ176" i="28"/>
  <c r="AJ171"/>
  <c r="AJ166" i="12"/>
  <c r="AJ94" i="31"/>
  <c r="J166" i="19"/>
  <c r="AJ4" i="28"/>
  <c r="AJ174" i="17"/>
  <c r="J173" i="3"/>
  <c r="AJ92" i="4"/>
  <c r="AJ144" i="24"/>
  <c r="AJ176" i="26"/>
  <c r="J118" i="29"/>
  <c r="J141" i="5"/>
  <c r="AJ57" i="26"/>
  <c r="AJ27" i="10"/>
  <c r="J95" i="22"/>
  <c r="AJ99" i="24"/>
  <c r="AJ120" i="9"/>
  <c r="J94" i="1"/>
  <c r="AJ155" i="22"/>
  <c r="AJ53" i="12"/>
  <c r="J89" i="16"/>
  <c r="AJ74" i="33"/>
  <c r="AJ16" i="32"/>
  <c r="AJ159" i="11"/>
  <c r="J184" i="20"/>
  <c r="AJ86" i="26"/>
  <c r="J128" i="27"/>
  <c r="J49" i="31"/>
  <c r="AJ168" i="27"/>
  <c r="AJ141" i="17"/>
  <c r="AJ139" i="30"/>
  <c r="AJ129" i="29"/>
  <c r="AJ119" i="20"/>
  <c r="J19" i="24"/>
  <c r="AJ23" i="2"/>
  <c r="J101" i="23"/>
  <c r="J93" i="3"/>
  <c r="AJ22" i="22"/>
  <c r="J131" i="7"/>
  <c r="J79" i="16"/>
  <c r="AJ45" i="12"/>
  <c r="AJ85" i="3"/>
  <c r="AJ49" i="31"/>
  <c r="AJ184" i="30"/>
  <c r="AJ46" i="18"/>
  <c r="AJ25"/>
  <c r="AJ161" i="9"/>
  <c r="AJ57" i="6"/>
  <c r="AJ183" i="26"/>
  <c r="J95" i="27"/>
  <c r="AJ66"/>
  <c r="AJ84" i="6"/>
  <c r="J88" i="9"/>
  <c r="J97" i="6"/>
  <c r="AJ150" i="9"/>
  <c r="AJ80" i="6"/>
  <c r="J85" i="3"/>
  <c r="AJ96" i="29"/>
  <c r="J73" i="11"/>
  <c r="AJ183" i="21"/>
  <c r="AJ100"/>
  <c r="J180" i="7"/>
  <c r="AJ10" i="10"/>
  <c r="AJ34" i="31"/>
  <c r="AJ49" i="21"/>
  <c r="AJ64" i="22"/>
  <c r="AJ29" i="20"/>
  <c r="AJ142" i="7"/>
  <c r="AJ107" i="23"/>
  <c r="AJ65" i="1"/>
  <c r="AJ153" i="33"/>
  <c r="AJ48" i="32"/>
  <c r="AJ183" i="1"/>
  <c r="AJ43" i="19"/>
  <c r="AJ93" i="33"/>
  <c r="AJ136" i="17"/>
  <c r="AJ87" i="11"/>
  <c r="AJ83" i="3"/>
  <c r="AJ106" i="6"/>
  <c r="AJ185" i="1"/>
  <c r="AJ82" i="15"/>
  <c r="AJ26" i="7"/>
  <c r="AJ156" i="23"/>
  <c r="AJ115" i="11"/>
  <c r="J100" i="29"/>
  <c r="AJ44" i="4"/>
  <c r="AJ169" i="20"/>
  <c r="AJ128" i="29"/>
  <c r="AJ103" i="24"/>
  <c r="J161" i="11"/>
  <c r="J149" i="33"/>
  <c r="J77" i="7"/>
  <c r="AJ51" i="3"/>
  <c r="AJ128" i="22"/>
  <c r="AJ32" i="30"/>
  <c r="J6" i="33"/>
  <c r="AJ123" i="29"/>
  <c r="AJ176" i="18"/>
  <c r="AJ165" i="19"/>
  <c r="AJ140" i="20"/>
  <c r="AJ106" i="29"/>
  <c r="AJ109" i="30"/>
  <c r="AJ41" i="4"/>
  <c r="AJ59" i="29"/>
  <c r="AJ113" i="30"/>
  <c r="AJ52" i="19"/>
  <c r="AJ23" i="33"/>
  <c r="AJ78" i="10"/>
  <c r="AJ126" i="6"/>
  <c r="AJ163" i="2"/>
  <c r="AJ58" i="29"/>
  <c r="AJ177" i="30"/>
  <c r="AJ177" i="6"/>
  <c r="AJ14" i="5"/>
  <c r="AJ105" i="30"/>
  <c r="J114" i="23"/>
  <c r="AJ35" i="6"/>
  <c r="AJ109" i="7"/>
  <c r="AJ14" i="29"/>
  <c r="AJ148" i="7"/>
  <c r="AJ67" i="17"/>
  <c r="AJ180" i="5"/>
  <c r="AJ70"/>
  <c r="AJ136" i="33"/>
  <c r="AJ21" i="30"/>
  <c r="J160" i="23"/>
  <c r="AJ136" i="19"/>
  <c r="AJ120"/>
  <c r="AJ92" i="12"/>
  <c r="AJ99" i="31"/>
  <c r="AJ137" i="30"/>
  <c r="AJ58" i="1"/>
  <c r="J184" i="21"/>
  <c r="J38" i="22"/>
  <c r="AJ120" i="12"/>
  <c r="AJ47"/>
  <c r="J51" i="5"/>
  <c r="AJ113" i="1"/>
  <c r="J86" i="15"/>
  <c r="AJ102" i="31"/>
  <c r="AJ86" i="2"/>
  <c r="AJ54" i="23"/>
  <c r="AJ157"/>
  <c r="AJ21" i="11"/>
  <c r="J85" i="18"/>
  <c r="J45" i="2"/>
  <c r="J69" i="26"/>
  <c r="J39"/>
  <c r="J101" i="32"/>
  <c r="J4" i="18"/>
  <c r="J181" i="29"/>
  <c r="J158" i="18"/>
  <c r="J172" i="21"/>
  <c r="J143" i="29"/>
  <c r="J118" i="20"/>
  <c r="J84" i="25"/>
  <c r="J93"/>
  <c r="J85" i="6"/>
  <c r="J161" i="24"/>
  <c r="J155" i="25"/>
  <c r="J140" i="10"/>
  <c r="J144" i="21"/>
  <c r="J76" i="23"/>
  <c r="J59" i="1"/>
  <c r="J82" i="10"/>
  <c r="J162" i="29"/>
  <c r="J112" i="24"/>
  <c r="J6" i="2"/>
  <c r="J87" i="5"/>
  <c r="J167" i="12"/>
  <c r="J136" i="18"/>
  <c r="J171"/>
  <c r="J46" i="26"/>
  <c r="J88" i="25"/>
  <c r="J58" i="20"/>
  <c r="J108" i="11"/>
  <c r="J110" i="21"/>
  <c r="J140" i="2"/>
  <c r="J137" i="12"/>
  <c r="J52" i="20"/>
  <c r="J89" i="10"/>
  <c r="J42" i="9"/>
  <c r="J86" i="26"/>
  <c r="J113" i="23"/>
  <c r="J69" i="20"/>
  <c r="J112" i="26"/>
  <c r="J118" i="4"/>
  <c r="J76" i="18"/>
  <c r="J16" i="26"/>
  <c r="J128" i="18"/>
  <c r="J51" i="15"/>
  <c r="J149" i="5"/>
  <c r="J79" i="2"/>
  <c r="J57" i="20"/>
  <c r="J73" i="24"/>
  <c r="J45" i="10"/>
  <c r="J117" i="25"/>
  <c r="J53" i="18"/>
  <c r="J117" i="31"/>
  <c r="J59" i="28"/>
  <c r="J169" i="2"/>
  <c r="J87" i="15"/>
  <c r="J110" i="26"/>
  <c r="J60" i="24"/>
  <c r="J136" i="29"/>
  <c r="J88" i="31"/>
  <c r="AJ43" i="12"/>
  <c r="J153" i="9"/>
  <c r="J79" i="24"/>
  <c r="J170" i="20"/>
  <c r="J159" i="10"/>
  <c r="J168" i="5"/>
  <c r="J65" i="30"/>
  <c r="J45" i="19"/>
  <c r="J151"/>
  <c r="AJ139" i="29"/>
  <c r="J58" i="32"/>
  <c r="J71" i="10"/>
  <c r="J44" i="28"/>
  <c r="J111" i="24"/>
  <c r="J81" i="5"/>
  <c r="J140" i="16"/>
  <c r="J132" i="15"/>
  <c r="J131" i="17"/>
  <c r="J61" i="18"/>
  <c r="J165" i="6"/>
  <c r="J159" i="30"/>
  <c r="AJ119" i="12"/>
  <c r="J161" i="25"/>
  <c r="AJ42" i="28"/>
  <c r="J24" i="6"/>
  <c r="AJ55" i="29"/>
  <c r="J66" i="21"/>
  <c r="AJ12" i="29"/>
  <c r="J107" i="27"/>
  <c r="J79" i="20"/>
  <c r="J67" i="23"/>
  <c r="J120" i="11"/>
  <c r="AJ133" i="12"/>
  <c r="J65" i="31"/>
  <c r="J87" i="9"/>
  <c r="AJ86" i="24"/>
  <c r="AJ174" i="18"/>
  <c r="J91" i="9"/>
  <c r="J174" i="30"/>
  <c r="AJ164" i="20"/>
  <c r="AJ181" i="10"/>
  <c r="J106" i="1"/>
  <c r="J34" i="9"/>
  <c r="J151"/>
  <c r="J165" i="19"/>
  <c r="J69" i="1"/>
  <c r="J63" i="20"/>
  <c r="J8" i="19"/>
  <c r="AJ19" i="26"/>
  <c r="AJ88" i="24"/>
  <c r="J75" i="12"/>
  <c r="J40" i="10"/>
  <c r="AJ130" i="4"/>
  <c r="J149" i="20"/>
  <c r="J101" i="3"/>
  <c r="J113" i="11"/>
  <c r="J10" i="31"/>
  <c r="J93" i="10"/>
  <c r="J68" i="32"/>
  <c r="J161" i="15"/>
  <c r="AJ172" i="21"/>
  <c r="J99" i="25"/>
  <c r="AJ35" i="12"/>
  <c r="J61" i="11"/>
  <c r="AJ37" i="29"/>
  <c r="AJ43" i="10"/>
  <c r="AJ25" i="12"/>
  <c r="AJ129" i="26"/>
  <c r="AJ37" i="4"/>
  <c r="J13" i="9"/>
  <c r="J150" i="31"/>
  <c r="J133" i="16"/>
  <c r="AJ111" i="24"/>
  <c r="J153" i="17"/>
  <c r="J34" i="16"/>
  <c r="J88" i="29"/>
  <c r="J4" i="15"/>
  <c r="J73" i="4"/>
  <c r="J16" i="32"/>
  <c r="J9" i="16"/>
  <c r="J177" i="24"/>
  <c r="J89" i="2"/>
  <c r="J36" i="9"/>
  <c r="J100"/>
  <c r="J162" i="2"/>
  <c r="J109" i="7"/>
  <c r="J38" i="33"/>
  <c r="J120" i="21"/>
  <c r="J125" i="11"/>
  <c r="J65" i="12"/>
  <c r="AJ48" i="18"/>
  <c r="J106" i="30"/>
  <c r="AJ117" i="4"/>
  <c r="J13" i="30"/>
  <c r="AJ74" i="26"/>
  <c r="AJ161" i="20"/>
  <c r="AJ24" i="21"/>
  <c r="J75" i="9"/>
  <c r="AJ135" i="26"/>
  <c r="J25" i="30"/>
  <c r="AJ100" i="2"/>
  <c r="J35" i="3"/>
  <c r="J112" i="7"/>
  <c r="J179"/>
  <c r="J29" i="27"/>
  <c r="J95" i="5"/>
  <c r="J52" i="31"/>
  <c r="J56" i="20"/>
  <c r="AJ49"/>
  <c r="J139" i="32"/>
  <c r="J121" i="15"/>
  <c r="J96" i="27"/>
  <c r="J30" i="23"/>
  <c r="J134" i="5"/>
  <c r="AJ11" i="18"/>
  <c r="J137" i="20"/>
  <c r="J63" i="15"/>
  <c r="J59" i="20"/>
  <c r="J110" i="30"/>
  <c r="J177" i="26"/>
  <c r="J133" i="11"/>
  <c r="AJ52" i="18"/>
  <c r="AJ147" i="21"/>
  <c r="J135" i="11"/>
  <c r="AJ125" i="23"/>
  <c r="J46" i="9"/>
  <c r="J120" i="25"/>
  <c r="AJ72" i="2"/>
  <c r="J92" i="28"/>
  <c r="AJ5" i="12"/>
  <c r="AJ70" i="2"/>
  <c r="AJ127" i="23"/>
  <c r="J134" i="28"/>
  <c r="J50" i="23"/>
  <c r="J66" i="27"/>
  <c r="AJ73" i="6"/>
  <c r="J130" i="31"/>
  <c r="J128" i="26"/>
  <c r="J91" i="4"/>
  <c r="J54" i="7"/>
  <c r="J63" i="25"/>
  <c r="J148" i="23"/>
  <c r="J135" i="32"/>
  <c r="J24" i="18"/>
  <c r="J131" i="4"/>
  <c r="J61" i="25"/>
  <c r="J162" i="18"/>
  <c r="J101" i="15"/>
  <c r="J53" i="16"/>
  <c r="J29" i="17"/>
  <c r="J123" i="15"/>
  <c r="J31" i="1"/>
  <c r="J145" i="11"/>
  <c r="J149"/>
  <c r="AJ181" i="28"/>
  <c r="J37" i="27"/>
  <c r="J92" i="30"/>
  <c r="AJ68" i="4"/>
  <c r="AJ8" i="21"/>
  <c r="AJ17" i="4"/>
  <c r="J107" i="19"/>
  <c r="J130" i="17"/>
  <c r="AJ97" i="7"/>
  <c r="AJ47" i="3"/>
  <c r="AJ95" i="26"/>
  <c r="AJ142"/>
  <c r="J122" i="31"/>
  <c r="AJ168" i="24"/>
  <c r="J88" i="23"/>
  <c r="AJ38" i="26"/>
  <c r="J66" i="17"/>
  <c r="J127" i="24"/>
  <c r="J166" i="16"/>
  <c r="AJ45" i="18"/>
  <c r="AJ44" i="12"/>
  <c r="J26" i="33"/>
  <c r="AJ95" i="4"/>
  <c r="J163" i="10"/>
  <c r="J61" i="23"/>
  <c r="AJ55" i="2"/>
  <c r="AJ85" i="19"/>
  <c r="AJ50" i="6"/>
  <c r="AJ84" i="33"/>
  <c r="J127" i="9"/>
  <c r="AJ156" i="26"/>
  <c r="AJ141" i="9"/>
  <c r="AJ114" i="7"/>
  <c r="J43" i="25"/>
  <c r="J61" i="5"/>
  <c r="J94" i="3"/>
  <c r="AJ180" i="2"/>
  <c r="J88" i="32"/>
  <c r="J140" i="22"/>
  <c r="AJ144" i="33"/>
  <c r="J165" i="22"/>
  <c r="J131" i="29"/>
  <c r="J9" i="7"/>
  <c r="J150" i="12"/>
  <c r="J99" i="30"/>
  <c r="AJ169" i="12"/>
  <c r="J146" i="7"/>
  <c r="AJ134" i="10"/>
  <c r="AJ121" i="12"/>
  <c r="AJ141" i="28"/>
  <c r="J153" i="33"/>
  <c r="AJ33" i="32"/>
  <c r="AJ101" i="5"/>
  <c r="J168" i="32"/>
  <c r="AJ107" i="28"/>
  <c r="J153" i="31"/>
  <c r="AJ105" i="9"/>
  <c r="J173" i="4"/>
  <c r="AJ123" i="7"/>
  <c r="AJ140" i="10"/>
  <c r="J3" i="16"/>
  <c r="AJ138" i="4"/>
  <c r="J145" i="31"/>
  <c r="AJ170" i="2"/>
  <c r="AJ124" i="5"/>
  <c r="J116" i="32"/>
  <c r="J36" i="31"/>
  <c r="AJ84" i="20"/>
  <c r="AJ165" i="24"/>
  <c r="J13" i="17"/>
  <c r="J148" i="16"/>
  <c r="AJ101" i="2"/>
  <c r="AJ81" i="29"/>
  <c r="AJ183" i="4"/>
  <c r="AJ63" i="29"/>
  <c r="J118" i="32"/>
  <c r="J110" i="31"/>
  <c r="AJ99" i="4"/>
  <c r="AJ21" i="23"/>
  <c r="AJ58" i="10"/>
  <c r="J176" i="1"/>
  <c r="AJ168" i="18"/>
  <c r="AJ123" i="12"/>
  <c r="J158" i="11"/>
  <c r="J128" i="1"/>
  <c r="AJ69" i="31"/>
  <c r="AJ27" i="15"/>
  <c r="J120" i="7"/>
  <c r="AJ70" i="24"/>
  <c r="J84" i="5"/>
  <c r="AJ30" i="17"/>
  <c r="AJ7" i="27"/>
  <c r="AJ153" i="30"/>
  <c r="AJ161" i="33"/>
  <c r="J14" i="22"/>
  <c r="AJ66" i="31"/>
  <c r="AJ75" i="24"/>
  <c r="J88" i="19"/>
  <c r="AJ57" i="24"/>
  <c r="AJ43" i="18"/>
  <c r="J93" i="26"/>
  <c r="J163" i="5"/>
  <c r="J142" i="9"/>
  <c r="AJ64" i="26"/>
  <c r="J171" i="30"/>
  <c r="J158" i="17"/>
  <c r="AJ127" i="28"/>
  <c r="J168" i="9"/>
  <c r="J18" i="31"/>
  <c r="AJ137" i="12"/>
  <c r="AJ160" i="23"/>
  <c r="AJ68" i="28"/>
  <c r="AJ117" i="11"/>
  <c r="AJ103" i="4"/>
  <c r="AJ52" i="26"/>
  <c r="J178" i="22"/>
  <c r="AJ32" i="23"/>
  <c r="AJ10" i="31"/>
  <c r="AJ176" i="19"/>
  <c r="AJ134" i="12"/>
  <c r="J58" i="3"/>
  <c r="J97" i="23"/>
  <c r="AJ17" i="22"/>
  <c r="AJ82" i="27"/>
  <c r="AJ171" i="17"/>
  <c r="AJ107" i="10"/>
  <c r="J133" i="6"/>
  <c r="AJ165"/>
  <c r="J165" i="3"/>
  <c r="J144" i="16"/>
  <c r="J82" i="7"/>
  <c r="J14" i="32"/>
  <c r="J118" i="22"/>
  <c r="AJ184" i="18"/>
  <c r="J50" i="1"/>
  <c r="J141" i="11"/>
  <c r="AJ24" i="29"/>
  <c r="J86" i="22"/>
  <c r="AJ6" i="18"/>
  <c r="J71" i="3"/>
  <c r="AJ142" i="2"/>
  <c r="J13" i="32"/>
  <c r="AJ139" i="7"/>
  <c r="AJ55" i="18"/>
  <c r="AJ91" i="15"/>
  <c r="AJ111" i="2"/>
  <c r="J16" i="23"/>
  <c r="J158" i="5"/>
  <c r="AJ164" i="7"/>
  <c r="AJ146" i="30"/>
  <c r="AJ29" i="1"/>
  <c r="AJ133" i="24"/>
  <c r="J50" i="7"/>
  <c r="AJ162" i="29"/>
  <c r="AJ19" i="23"/>
  <c r="AJ142" i="9"/>
  <c r="AJ7" i="7"/>
  <c r="AJ31" i="29"/>
  <c r="J28" i="10"/>
  <c r="AJ134" i="6"/>
  <c r="J20" i="21"/>
  <c r="AJ16" i="29"/>
  <c r="J80" i="4"/>
  <c r="J40" i="7"/>
  <c r="AJ42" i="24"/>
  <c r="AJ82" i="4"/>
  <c r="J169" i="15"/>
  <c r="J152" i="1"/>
  <c r="J98" i="9"/>
  <c r="J171" i="1"/>
  <c r="AJ29" i="21"/>
  <c r="J114" i="32"/>
  <c r="AJ50" i="29"/>
  <c r="J152" i="6"/>
  <c r="AJ39" i="33"/>
  <c r="AJ58" i="6"/>
  <c r="J154" i="9"/>
  <c r="J163" i="17"/>
  <c r="J163" i="3"/>
  <c r="J168" i="17"/>
  <c r="AJ163"/>
  <c r="AJ177" i="2"/>
  <c r="AJ77" i="33"/>
  <c r="AJ161" i="3"/>
  <c r="AJ21"/>
  <c r="AJ73" i="4"/>
  <c r="J107" i="32"/>
  <c r="AJ66" i="28"/>
  <c r="AJ53" i="18"/>
  <c r="AJ105" i="2"/>
  <c r="AJ171" i="4"/>
  <c r="J25" i="9"/>
  <c r="J23"/>
  <c r="J78" i="27"/>
  <c r="AJ139" i="22"/>
  <c r="AJ177" i="10"/>
  <c r="AJ18" i="22"/>
  <c r="AJ63" i="17"/>
  <c r="AJ86"/>
  <c r="AJ82" i="33"/>
  <c r="AJ139" i="17"/>
  <c r="AJ132" i="5"/>
  <c r="AJ53"/>
  <c r="AJ101" i="33"/>
  <c r="AJ135" i="17"/>
  <c r="AJ64" i="5"/>
  <c r="AJ37"/>
  <c r="AJ110" i="33"/>
  <c r="AJ149" i="22"/>
  <c r="AJ122" i="5"/>
  <c r="J30" i="4"/>
  <c r="J172" i="23"/>
  <c r="J139" i="11"/>
  <c r="AJ64" i="23"/>
  <c r="AJ35" i="24"/>
  <c r="AJ121" i="30"/>
  <c r="J47" i="27"/>
  <c r="AJ169" i="5"/>
  <c r="AJ79" i="10"/>
  <c r="J50" i="31"/>
  <c r="AJ74" i="18"/>
  <c r="J16" i="11"/>
  <c r="AJ86" i="21"/>
  <c r="AJ84" i="29"/>
  <c r="AJ49" i="22"/>
  <c r="AJ6" i="29"/>
  <c r="AJ130" i="15"/>
  <c r="AJ147" i="28"/>
  <c r="AJ4" i="5"/>
  <c r="J18" i="22"/>
  <c r="AJ103" i="3"/>
  <c r="AJ59" i="17"/>
  <c r="AJ162" i="7"/>
  <c r="AJ99" i="15"/>
  <c r="AJ174" i="2"/>
  <c r="AJ81" i="5"/>
  <c r="J86" i="3"/>
  <c r="J46" i="4"/>
  <c r="AJ175" i="26"/>
  <c r="J20" i="23"/>
  <c r="J28" i="22"/>
  <c r="J119" i="7"/>
  <c r="AJ23" i="22"/>
  <c r="J78" i="11"/>
  <c r="AJ88" i="10"/>
  <c r="J87" i="27"/>
  <c r="AJ161" i="7"/>
  <c r="AJ28" i="28"/>
  <c r="AJ144" i="27"/>
  <c r="AJ182" i="10"/>
  <c r="AJ138" i="32"/>
  <c r="AJ74" i="27"/>
  <c r="AJ103" i="1"/>
  <c r="AJ23" i="29"/>
  <c r="J9" i="1"/>
  <c r="AJ78" i="15"/>
  <c r="AJ82" i="7"/>
  <c r="AJ94" i="30"/>
  <c r="AJ115" i="1"/>
  <c r="AJ156" i="19"/>
  <c r="AJ122" i="10"/>
  <c r="AJ9" i="24"/>
  <c r="AJ123" i="15"/>
  <c r="AJ167" i="33"/>
  <c r="AJ6" i="3"/>
  <c r="AJ167" i="19"/>
  <c r="AJ28" i="7"/>
  <c r="AJ148" i="23"/>
  <c r="AJ75"/>
  <c r="AJ174" i="9"/>
  <c r="AJ178" i="29"/>
  <c r="AJ36" i="10"/>
  <c r="AJ115" i="4"/>
  <c r="AJ55" i="10"/>
  <c r="AJ21"/>
  <c r="J150" i="30"/>
  <c r="AJ89" i="9"/>
  <c r="AJ182" i="5"/>
  <c r="AJ107" i="20"/>
  <c r="AJ17" i="27"/>
  <c r="AJ31" i="23"/>
  <c r="AJ69" i="29"/>
  <c r="AJ105" i="11"/>
  <c r="AJ97" i="20"/>
  <c r="J31" i="30"/>
  <c r="J14" i="25"/>
  <c r="AJ93" i="28"/>
  <c r="J183" i="1"/>
  <c r="AJ181" i="2"/>
  <c r="J20" i="1"/>
  <c r="AJ157" i="28"/>
  <c r="J73" i="6"/>
  <c r="AJ170" i="18"/>
  <c r="AJ62" i="20"/>
  <c r="AJ82" i="10"/>
  <c r="AJ84" i="18"/>
  <c r="J180" i="12"/>
  <c r="J168" i="28"/>
  <c r="J141" i="15"/>
  <c r="J112"/>
  <c r="J72" i="24"/>
  <c r="J183" i="30"/>
  <c r="J57" i="10"/>
  <c r="J155" i="17"/>
  <c r="J121" i="25"/>
  <c r="J81"/>
  <c r="J80" i="10"/>
  <c r="J136" i="20"/>
  <c r="J150" i="18"/>
  <c r="J43" i="26"/>
  <c r="J97" i="2"/>
  <c r="J110" i="20"/>
  <c r="J76" i="28"/>
  <c r="J159" i="26"/>
  <c r="J51" i="6"/>
  <c r="J75" i="15"/>
  <c r="J116" i="4"/>
  <c r="J15"/>
  <c r="J182" i="15"/>
  <c r="J11" i="20"/>
  <c r="J158" i="10"/>
  <c r="J91" i="25"/>
  <c r="J144" i="12"/>
  <c r="J114"/>
  <c r="J107" i="18"/>
  <c r="J185" i="15"/>
  <c r="J151" i="4"/>
  <c r="J60" i="18"/>
  <c r="J58"/>
  <c r="J72"/>
  <c r="J178" i="12"/>
  <c r="J119" i="26"/>
  <c r="J154" i="20"/>
  <c r="J11" i="21"/>
  <c r="J10"/>
  <c r="J49" i="18"/>
  <c r="J74" i="32"/>
  <c r="J95" i="23"/>
  <c r="J157" i="27"/>
  <c r="J107" i="23"/>
  <c r="J61" i="21"/>
  <c r="J8" i="32"/>
  <c r="J136" i="23"/>
  <c r="AJ31" i="18"/>
  <c r="J160" i="5"/>
  <c r="J102" i="26"/>
  <c r="J50" i="30"/>
  <c r="J21" i="17"/>
  <c r="AJ69" i="2"/>
  <c r="J159" i="32"/>
  <c r="J65" i="20"/>
  <c r="J166" i="33"/>
  <c r="J65" i="3"/>
  <c r="AJ89" i="24"/>
  <c r="J88" i="2"/>
  <c r="J66"/>
  <c r="J4" i="6"/>
  <c r="J157" i="2"/>
  <c r="J33" i="9"/>
  <c r="J179" i="18"/>
  <c r="J157" i="25"/>
  <c r="J157" i="20"/>
  <c r="AJ141" i="24"/>
  <c r="J73" i="16"/>
  <c r="J161" i="4"/>
  <c r="J99" i="31"/>
  <c r="J115" i="26"/>
  <c r="J102" i="17"/>
  <c r="J143" i="21"/>
  <c r="J42" i="11"/>
  <c r="J24" i="27"/>
  <c r="J28" i="29"/>
  <c r="J132" i="1"/>
  <c r="J19" i="16"/>
  <c r="J82" i="29"/>
  <c r="J92" i="18"/>
  <c r="J185" i="6"/>
  <c r="J170" i="16"/>
  <c r="AJ19" i="12"/>
  <c r="J40" i="30"/>
  <c r="J16" i="28"/>
  <c r="AJ98" i="24"/>
  <c r="J8" i="20"/>
  <c r="J115" i="4"/>
  <c r="J65"/>
  <c r="J166" i="15"/>
  <c r="J60" i="1"/>
  <c r="J96" i="6"/>
  <c r="J73" i="33"/>
  <c r="J39" i="28"/>
  <c r="J89" i="27"/>
  <c r="J143" i="24"/>
  <c r="J20" i="9"/>
  <c r="J116" i="17"/>
  <c r="J141" i="27"/>
  <c r="AJ86" i="28"/>
  <c r="AJ135" i="12"/>
  <c r="AJ130" i="21"/>
  <c r="J180" i="9"/>
  <c r="AJ14" i="33"/>
  <c r="AJ178" i="24"/>
  <c r="J13" i="10"/>
  <c r="J35" i="6"/>
  <c r="J131" i="11"/>
  <c r="J176" i="7"/>
  <c r="J49" i="4"/>
  <c r="J8" i="30"/>
  <c r="J67" i="22"/>
  <c r="J67" i="30"/>
  <c r="J84" i="2"/>
  <c r="J58" i="23"/>
  <c r="AJ99" i="20"/>
  <c r="AJ137" i="26"/>
  <c r="J25" i="23"/>
  <c r="J65" i="25"/>
  <c r="AJ4" i="26"/>
  <c r="J76" i="31"/>
  <c r="J149" i="3"/>
  <c r="J147" i="30"/>
  <c r="J144" i="2"/>
  <c r="J166" i="22"/>
  <c r="J78" i="31"/>
  <c r="AJ72" i="12"/>
  <c r="AJ46" i="29"/>
  <c r="AJ174" i="26"/>
  <c r="J161" i="3"/>
  <c r="AJ153" i="28"/>
  <c r="J85" i="25"/>
  <c r="AJ183" i="2"/>
  <c r="AJ103" i="18"/>
  <c r="AJ119" i="17"/>
  <c r="J168" i="26"/>
  <c r="AJ35" i="2"/>
  <c r="AJ114" i="18"/>
  <c r="J43" i="21"/>
  <c r="J73" i="22"/>
  <c r="J176" i="11"/>
  <c r="J117" i="9"/>
  <c r="AJ120" i="29"/>
  <c r="J74" i="23"/>
  <c r="J54" i="5"/>
  <c r="AJ184" i="26"/>
  <c r="J29" i="2"/>
  <c r="J147"/>
  <c r="J152" i="33"/>
  <c r="J135" i="3"/>
  <c r="J38" i="30"/>
  <c r="J75" i="1"/>
  <c r="AJ172" i="26"/>
  <c r="J69" i="3"/>
  <c r="J30" i="32"/>
  <c r="AJ130" i="29"/>
  <c r="AJ24" i="2"/>
  <c r="J136" i="7"/>
  <c r="AJ162" i="22"/>
  <c r="AJ160"/>
  <c r="AJ164" i="12"/>
  <c r="J63" i="22"/>
  <c r="AJ131" i="18"/>
  <c r="J59" i="29"/>
  <c r="AJ109" i="21"/>
  <c r="AJ143" i="4"/>
  <c r="AJ152" i="22"/>
  <c r="J121" i="29"/>
  <c r="AJ55" i="21"/>
  <c r="J180" i="20"/>
  <c r="J110" i="32"/>
  <c r="J67" i="19"/>
  <c r="J72" i="33"/>
  <c r="AJ151" i="4"/>
  <c r="J154" i="28"/>
  <c r="J3" i="15"/>
  <c r="J106" i="33"/>
  <c r="J64" i="28"/>
  <c r="J26" i="23"/>
  <c r="J106" i="5"/>
  <c r="AJ81" i="18"/>
  <c r="J122" i="20"/>
  <c r="J131" i="32"/>
  <c r="J162" i="17"/>
  <c r="J95" i="11"/>
  <c r="J94" i="19"/>
  <c r="J149" i="32"/>
  <c r="J87" i="25"/>
  <c r="J52" i="7"/>
  <c r="J152" i="22"/>
  <c r="J97" i="32"/>
  <c r="J174" i="1"/>
  <c r="J47" i="30"/>
  <c r="AJ179" i="29"/>
  <c r="J114" i="31"/>
  <c r="J162" i="19"/>
  <c r="AJ156" i="18"/>
  <c r="AJ59" i="4"/>
  <c r="AJ109" i="28"/>
  <c r="J172" i="7"/>
  <c r="J8" i="21"/>
  <c r="J64" i="24"/>
  <c r="J69" i="33"/>
  <c r="J61" i="16"/>
  <c r="J142" i="33"/>
  <c r="AJ143" i="21"/>
  <c r="J157" i="11"/>
  <c r="J181" i="9"/>
  <c r="J64" i="7"/>
  <c r="J14" i="18"/>
  <c r="J77" i="15"/>
  <c r="J28" i="30"/>
  <c r="J117" i="12"/>
  <c r="J119" i="32"/>
  <c r="J169" i="3"/>
  <c r="J84" i="31"/>
  <c r="J126" i="23"/>
  <c r="J154" i="15"/>
  <c r="J74" i="12"/>
  <c r="AJ36" i="29"/>
  <c r="J60" i="30"/>
  <c r="AJ67"/>
  <c r="J119" i="16"/>
  <c r="J56" i="17"/>
  <c r="AJ127" i="2"/>
  <c r="AJ4" i="1"/>
  <c r="J141" i="21"/>
  <c r="J94" i="9"/>
  <c r="AJ130" i="2"/>
  <c r="J163" i="27"/>
  <c r="J68"/>
  <c r="J77" i="31"/>
  <c r="AJ15" i="12"/>
  <c r="J178" i="11"/>
  <c r="J102" i="19"/>
  <c r="AJ117" i="26"/>
  <c r="AJ68"/>
  <c r="AJ13"/>
  <c r="AJ25" i="2"/>
  <c r="AJ156" i="7"/>
  <c r="J157" i="22"/>
  <c r="J172" i="5"/>
  <c r="AJ65" i="7"/>
  <c r="J76" i="22"/>
  <c r="AJ97" i="30"/>
  <c r="AJ165" i="15"/>
  <c r="AJ166" i="1"/>
  <c r="J109" i="11"/>
  <c r="AJ61" i="30"/>
  <c r="J10" i="22"/>
  <c r="J95" i="1"/>
  <c r="J40" i="29"/>
  <c r="J63" i="17"/>
  <c r="AJ112" i="26"/>
  <c r="J69" i="23"/>
  <c r="AJ126" i="4"/>
  <c r="J64" i="32"/>
  <c r="AJ8"/>
  <c r="J28" i="26"/>
  <c r="AJ99" i="3"/>
  <c r="J87" i="19"/>
  <c r="J67" i="11"/>
  <c r="AJ105" i="29"/>
  <c r="AJ110" i="5"/>
  <c r="AJ180" i="1"/>
  <c r="J145" i="9"/>
  <c r="J185" i="22"/>
  <c r="AJ135" i="29"/>
  <c r="J141" i="4"/>
  <c r="AJ117" i="9"/>
  <c r="AJ168" i="23"/>
  <c r="AJ20" i="5"/>
  <c r="AJ126" i="30"/>
  <c r="AJ177" i="21"/>
  <c r="AJ79"/>
  <c r="J129" i="31"/>
  <c r="J74" i="30"/>
  <c r="AJ80" i="17"/>
  <c r="AJ184" i="3"/>
  <c r="J171" i="15"/>
  <c r="J147" i="22"/>
  <c r="J121" i="6"/>
  <c r="J171"/>
  <c r="J91" i="1"/>
  <c r="J98" i="30"/>
  <c r="AJ96" i="20"/>
  <c r="AJ17" i="29"/>
  <c r="AJ177" i="4"/>
  <c r="AJ165" i="18"/>
  <c r="AJ141" i="7"/>
  <c r="AJ180" i="20"/>
  <c r="J121" i="30"/>
  <c r="AJ180" i="21"/>
  <c r="AJ146" i="20"/>
  <c r="AJ178" i="27"/>
  <c r="J36" i="11"/>
  <c r="AJ82" i="23"/>
  <c r="J92" i="22"/>
  <c r="AJ174" i="20"/>
  <c r="AJ42" i="22"/>
  <c r="AJ62" i="24"/>
  <c r="J68" i="3"/>
  <c r="J154" i="11"/>
  <c r="AJ42" i="3"/>
  <c r="J16" i="24"/>
  <c r="AJ48" i="31"/>
  <c r="AJ100" i="29"/>
  <c r="AJ22" i="28"/>
  <c r="AJ60"/>
  <c r="AJ21" i="32"/>
  <c r="AJ141" i="15"/>
  <c r="J13" i="16"/>
  <c r="AJ11" i="23"/>
  <c r="J85" i="1"/>
  <c r="J15" i="31"/>
  <c r="J11" i="29"/>
  <c r="J65" i="7"/>
  <c r="AJ184" i="4"/>
  <c r="AJ148" i="20"/>
  <c r="AJ116" i="21"/>
  <c r="AJ147" i="26"/>
  <c r="AJ155" i="33"/>
  <c r="AJ107" i="4"/>
  <c r="AJ39" i="19"/>
  <c r="J142" i="6"/>
  <c r="AJ23" i="18"/>
  <c r="AJ98" i="9"/>
  <c r="J13" i="27"/>
  <c r="AJ100" i="3"/>
  <c r="J85" i="7"/>
  <c r="AJ125" i="18"/>
  <c r="AJ92" i="23"/>
  <c r="J56" i="3"/>
  <c r="J108" i="17"/>
  <c r="AJ5" i="20"/>
  <c r="AJ52" i="29"/>
  <c r="AJ171" i="22"/>
  <c r="AJ142" i="6"/>
  <c r="AJ108" i="12"/>
  <c r="AJ20" i="18"/>
  <c r="AJ125" i="2"/>
  <c r="AJ165" i="5"/>
  <c r="AJ116" i="19"/>
  <c r="AJ123" i="26"/>
  <c r="AJ56" i="3"/>
  <c r="J35" i="18"/>
  <c r="J36"/>
  <c r="J75" i="16"/>
  <c r="J110" i="23"/>
  <c r="J185" i="7"/>
  <c r="AJ113" i="24"/>
  <c r="J102" i="33"/>
  <c r="J163" i="6"/>
  <c r="AJ177" i="18"/>
  <c r="AJ124" i="2"/>
  <c r="AJ36" i="27"/>
  <c r="AJ80" i="24"/>
  <c r="AJ20" i="2"/>
  <c r="AJ165" i="31"/>
  <c r="J181" i="33"/>
  <c r="AJ78" i="7"/>
  <c r="AJ93" i="24"/>
  <c r="AJ21" i="2"/>
  <c r="AJ149" i="3"/>
  <c r="J183" i="9"/>
  <c r="AJ183" i="29"/>
  <c r="AJ12" i="11"/>
  <c r="AJ185" i="26"/>
  <c r="AJ146" i="3"/>
  <c r="AJ36" i="6"/>
  <c r="AJ74" i="17"/>
  <c r="AJ180" i="4"/>
  <c r="J60" i="31"/>
  <c r="AJ177" i="5"/>
  <c r="AJ165" i="1"/>
  <c r="AJ124"/>
  <c r="AJ108" i="7"/>
  <c r="J34" i="12"/>
  <c r="J44" i="25"/>
  <c r="J178" i="23"/>
  <c r="J99"/>
  <c r="J14" i="11"/>
  <c r="J80" i="15"/>
  <c r="AJ160" i="33"/>
  <c r="J85" i="16"/>
  <c r="J145" i="24"/>
  <c r="AJ20" i="29"/>
  <c r="J111" i="25"/>
  <c r="AJ170" i="28"/>
  <c r="AJ122" i="18"/>
  <c r="AJ9" i="26"/>
  <c r="AJ124"/>
  <c r="AJ99" i="27"/>
  <c r="AJ122" i="4"/>
  <c r="J176" i="16"/>
  <c r="AJ39" i="7"/>
  <c r="AJ109" i="10"/>
  <c r="AJ182" i="3"/>
  <c r="AJ60" i="19"/>
  <c r="J116" i="28"/>
  <c r="AJ156" i="5"/>
  <c r="AJ130" i="26"/>
  <c r="J110" i="9"/>
  <c r="J151" i="3"/>
  <c r="AJ154" i="24"/>
  <c r="J78" i="5"/>
  <c r="J155" i="11"/>
  <c r="AJ8" i="3"/>
  <c r="AJ3" i="33"/>
  <c r="AJ127" i="20"/>
  <c r="AJ158" i="28"/>
  <c r="J132" i="26"/>
  <c r="J75" i="27"/>
  <c r="AJ163" i="7"/>
  <c r="AJ5"/>
  <c r="J86" i="16"/>
  <c r="AJ34" i="26"/>
  <c r="AJ74" i="3"/>
  <c r="AJ135"/>
  <c r="J28" i="15"/>
  <c r="J181" i="19"/>
  <c r="AJ152" i="3"/>
  <c r="AJ104"/>
  <c r="AJ63" i="26"/>
  <c r="J178" i="19"/>
  <c r="AJ13" i="3"/>
  <c r="J78"/>
  <c r="J23" i="6"/>
  <c r="J107" i="9"/>
  <c r="J139" i="23"/>
  <c r="AJ125" i="12"/>
  <c r="AJ111" i="32"/>
  <c r="AJ151" i="26"/>
  <c r="AJ17" i="18"/>
  <c r="AJ118" i="32"/>
  <c r="AJ19" i="21"/>
  <c r="AJ59" i="12"/>
  <c r="AJ116" i="2"/>
  <c r="AJ55" i="20"/>
  <c r="J182" i="3"/>
  <c r="J18" i="5"/>
  <c r="AJ29"/>
  <c r="AJ10" i="24"/>
  <c r="AJ155" i="7"/>
  <c r="AJ114" i="17"/>
  <c r="AJ77" i="7"/>
  <c r="AJ175" i="15"/>
  <c r="AJ132" i="18"/>
  <c r="AJ74" i="5"/>
  <c r="J46" i="19"/>
  <c r="AJ69" i="7"/>
  <c r="AJ28" i="17"/>
  <c r="AJ90" i="33"/>
  <c r="J5" i="30"/>
  <c r="J172" i="6"/>
  <c r="AJ46" i="24"/>
  <c r="AJ82" i="21"/>
  <c r="J125" i="19"/>
  <c r="AJ123" i="18"/>
  <c r="AJ78" i="26"/>
  <c r="J33" i="4"/>
  <c r="J113" i="24"/>
  <c r="J161" i="12"/>
  <c r="J152" i="2"/>
  <c r="J76"/>
  <c r="J170" i="26"/>
  <c r="J72" i="12"/>
  <c r="J64" i="26"/>
  <c r="J82" i="4"/>
  <c r="J172" i="2"/>
  <c r="J74" i="25"/>
  <c r="J168" i="24"/>
  <c r="J63" i="10"/>
  <c r="J163" i="24"/>
  <c r="J15" i="26"/>
  <c r="J45" i="15"/>
  <c r="J69" i="25"/>
  <c r="J116" i="21"/>
  <c r="J82" i="15"/>
  <c r="J98" i="10"/>
  <c r="J155" i="4"/>
  <c r="J86" i="24"/>
  <c r="J86" i="20"/>
  <c r="J130" i="21"/>
  <c r="J30" i="29"/>
  <c r="J89" i="21"/>
  <c r="J87" i="24"/>
  <c r="J125" i="25"/>
  <c r="J111" i="26"/>
  <c r="J61" i="1"/>
  <c r="J152" i="11"/>
  <c r="J181" i="30"/>
  <c r="J36" i="15"/>
  <c r="J98" i="4"/>
  <c r="J134" i="20"/>
  <c r="J141" i="33"/>
  <c r="J39" i="17"/>
  <c r="J95" i="24"/>
  <c r="J18" i="21"/>
  <c r="J29" i="9"/>
  <c r="J66" i="15"/>
  <c r="J64" i="23"/>
  <c r="J6" i="27"/>
  <c r="J142" i="12"/>
  <c r="J42" i="5"/>
  <c r="J25" i="12"/>
  <c r="J4" i="33"/>
  <c r="AJ15" i="24"/>
  <c r="J130" i="20"/>
  <c r="J45" i="21"/>
  <c r="J60" i="9"/>
  <c r="J4" i="30"/>
  <c r="AJ24" i="4"/>
  <c r="J98" i="21"/>
  <c r="AJ150" i="24"/>
  <c r="J182" i="29"/>
  <c r="J44" i="6"/>
  <c r="J43" i="5"/>
  <c r="J96" i="2"/>
  <c r="J107" i="15"/>
  <c r="J145" i="25"/>
  <c r="J46" i="33"/>
  <c r="J54" i="23"/>
  <c r="J173" i="22"/>
  <c r="J71" i="18"/>
  <c r="J141" i="29"/>
  <c r="J54" i="2"/>
  <c r="J95" i="32"/>
  <c r="J167" i="9"/>
  <c r="J6" i="29"/>
  <c r="J86" i="19"/>
  <c r="J93" i="29"/>
  <c r="J11" i="18"/>
  <c r="J183" i="28"/>
  <c r="J154" i="18"/>
  <c r="J107" i="28"/>
  <c r="J165" i="31"/>
  <c r="J102" i="27"/>
  <c r="J84" i="30"/>
  <c r="J54" i="19"/>
  <c r="J93" i="16"/>
  <c r="AJ102" i="28"/>
  <c r="J137" i="23"/>
  <c r="J141" i="16"/>
  <c r="J151" i="11"/>
  <c r="J157" i="15"/>
  <c r="J98" i="22"/>
  <c r="J39" i="31"/>
  <c r="J157" i="17"/>
  <c r="J72" i="29"/>
  <c r="J178" i="1"/>
  <c r="J34" i="15"/>
  <c r="J26" i="16"/>
  <c r="J87" i="31"/>
  <c r="J80" i="23"/>
  <c r="J141" i="30"/>
  <c r="AJ110" i="24"/>
  <c r="AJ56" i="12"/>
  <c r="J127" i="27"/>
  <c r="J94" i="6"/>
  <c r="AJ114" i="27"/>
  <c r="J102" i="16"/>
  <c r="J23" i="10"/>
  <c r="J140" i="29"/>
  <c r="AJ39" i="28"/>
  <c r="J79" i="15"/>
  <c r="J71" i="12"/>
  <c r="J53" i="19"/>
  <c r="J50" i="17"/>
  <c r="J30" i="31"/>
  <c r="J170" i="25"/>
  <c r="J11" i="19"/>
  <c r="AJ120" i="24"/>
  <c r="AJ91" i="26"/>
  <c r="J123" i="23"/>
  <c r="J36" i="33"/>
  <c r="J134" i="18"/>
  <c r="J51" i="11"/>
  <c r="J54" i="22"/>
  <c r="J39" i="27"/>
  <c r="J99" i="11"/>
  <c r="J143"/>
  <c r="J42" i="4"/>
  <c r="J150" i="6"/>
  <c r="J118" i="9"/>
  <c r="J59" i="15"/>
  <c r="AJ37" i="28"/>
  <c r="J4" i="23"/>
  <c r="AJ33" i="29"/>
  <c r="AJ65"/>
  <c r="AJ67" i="10"/>
  <c r="AJ112" i="18"/>
  <c r="J91" i="11"/>
  <c r="AJ126" i="22"/>
  <c r="AJ113"/>
  <c r="AJ173" i="4"/>
  <c r="J31" i="27"/>
  <c r="J166" i="12"/>
  <c r="J59" i="4"/>
  <c r="J151" i="26"/>
  <c r="J117" i="23"/>
  <c r="J120" i="33"/>
  <c r="J120" i="4"/>
  <c r="J115" i="30"/>
  <c r="J123" i="7"/>
  <c r="J99" i="27"/>
  <c r="J140" i="11"/>
  <c r="J16" i="3"/>
  <c r="J147" i="27"/>
  <c r="J11" i="25"/>
  <c r="J132" i="24"/>
  <c r="J116" i="11"/>
  <c r="AJ152" i="26"/>
  <c r="AJ45" i="21"/>
  <c r="AJ78" i="4"/>
  <c r="J116" i="19"/>
  <c r="J133" i="5"/>
  <c r="J154"/>
  <c r="J52" i="30"/>
  <c r="J133" i="23"/>
  <c r="AJ128" i="28"/>
  <c r="AJ162" i="20"/>
  <c r="AJ118" i="29"/>
  <c r="AJ41" i="21"/>
  <c r="J146" i="9"/>
  <c r="AJ81" i="23"/>
  <c r="AJ39" i="22"/>
  <c r="AJ69" i="26"/>
  <c r="J167" i="21"/>
  <c r="J129" i="33"/>
  <c r="AJ76" i="24"/>
  <c r="J84" i="23"/>
  <c r="AJ85" i="24"/>
  <c r="J159" i="6"/>
  <c r="J148" i="15"/>
  <c r="J100" i="3"/>
  <c r="J142" i="22"/>
  <c r="J11" i="10"/>
  <c r="J19"/>
  <c r="J166" i="30"/>
  <c r="J139" i="10"/>
  <c r="J101"/>
  <c r="J169" i="33"/>
  <c r="J58" i="17"/>
  <c r="J98" i="33"/>
  <c r="J77" i="16"/>
  <c r="J177" i="18"/>
  <c r="J184" i="16"/>
  <c r="J44" i="30"/>
  <c r="AJ55" i="6"/>
  <c r="J46" i="21"/>
  <c r="J100" i="27"/>
  <c r="AJ135" i="18"/>
  <c r="J36" i="6"/>
  <c r="J113" i="33"/>
  <c r="J46" i="3"/>
  <c r="AJ153" i="24"/>
  <c r="J119" i="23"/>
  <c r="AJ170" i="24"/>
  <c r="J169" i="30"/>
  <c r="J163" i="23"/>
  <c r="J113" i="6"/>
  <c r="J107"/>
  <c r="AJ176" i="24"/>
  <c r="J155" i="6"/>
  <c r="J174" i="33"/>
  <c r="J95" i="16"/>
  <c r="AJ32" i="4"/>
  <c r="J44" i="18"/>
  <c r="J111" i="22"/>
  <c r="J76" i="17"/>
  <c r="J157" i="31"/>
  <c r="AJ8" i="24"/>
  <c r="J35" i="5"/>
  <c r="AJ99" i="2"/>
  <c r="AJ17" i="12"/>
  <c r="J68" i="24"/>
  <c r="AJ179" i="3"/>
  <c r="AJ155" i="12"/>
  <c r="AJ88" i="26"/>
  <c r="J25" i="6"/>
  <c r="J140" i="20"/>
  <c r="J80" i="33"/>
  <c r="AJ24" i="12"/>
  <c r="AJ178" i="7"/>
  <c r="J177" i="2"/>
  <c r="AJ42" i="29"/>
  <c r="AJ39" i="24"/>
  <c r="AJ154" i="30"/>
  <c r="J95" i="10"/>
  <c r="AJ56" i="28"/>
  <c r="J30" i="17"/>
  <c r="AJ163" i="30"/>
  <c r="J169" i="27"/>
  <c r="AJ38" i="4"/>
  <c r="AJ151" i="21"/>
  <c r="AJ67" i="18"/>
  <c r="AJ143" i="28"/>
  <c r="AJ32" i="31"/>
  <c r="J144" i="23"/>
  <c r="J28" i="33"/>
  <c r="AJ18" i="20"/>
  <c r="J5" i="6"/>
  <c r="AJ33" i="22"/>
  <c r="AJ6" i="7"/>
  <c r="AJ58" i="21"/>
  <c r="J34" i="1"/>
  <c r="AJ166" i="17"/>
  <c r="AJ62" i="3"/>
  <c r="J95" i="17"/>
  <c r="AJ136" i="2"/>
  <c r="J121" i="1"/>
  <c r="J171" i="32"/>
  <c r="AJ72" i="24"/>
  <c r="J68" i="31"/>
  <c r="AJ37" i="20"/>
  <c r="J50" i="10"/>
  <c r="AJ111" i="20"/>
  <c r="AJ42" i="10"/>
  <c r="J101" i="25"/>
  <c r="J63" i="31"/>
  <c r="AJ116" i="18"/>
  <c r="AJ41" i="22"/>
  <c r="AJ61" i="10"/>
  <c r="AJ37" i="24"/>
  <c r="AJ15" i="20"/>
  <c r="AJ136" i="21"/>
  <c r="J46" i="31"/>
  <c r="J106" i="11"/>
  <c r="AJ46" i="9"/>
  <c r="AJ6" i="11"/>
  <c r="AJ81" i="21"/>
  <c r="J65" i="11"/>
  <c r="AJ36" i="26"/>
  <c r="AJ139" i="5"/>
  <c r="AJ9" i="1"/>
  <c r="AJ72" i="31"/>
  <c r="AJ4" i="33"/>
  <c r="J71" i="9"/>
  <c r="AJ136"/>
  <c r="J94" i="18"/>
  <c r="AJ115"/>
  <c r="J180" i="25"/>
  <c r="AJ96" i="24"/>
  <c r="J63" i="32"/>
  <c r="AJ160" i="3"/>
  <c r="AJ122" i="21"/>
  <c r="J96" i="23"/>
  <c r="AJ35" i="5"/>
  <c r="AJ69" i="20"/>
  <c r="AJ20" i="33"/>
  <c r="AJ158" i="24"/>
  <c r="J3" i="7"/>
  <c r="AJ39" i="20"/>
  <c r="AJ154" i="17"/>
  <c r="AJ3" i="1"/>
  <c r="J58" i="15"/>
  <c r="J101" i="27"/>
  <c r="AJ41" i="28"/>
  <c r="J134" i="6"/>
  <c r="AJ113" i="31"/>
  <c r="AJ28" i="3"/>
  <c r="AJ93" i="5"/>
  <c r="AJ27"/>
  <c r="J79" i="27"/>
  <c r="J121" i="33"/>
  <c r="J130" i="6"/>
  <c r="J96" i="18"/>
  <c r="AJ97" i="23"/>
  <c r="AJ36" i="7"/>
  <c r="J110" i="6"/>
  <c r="AJ176" i="29"/>
  <c r="J49" i="2"/>
  <c r="AJ92"/>
  <c r="AJ28" i="26"/>
  <c r="J127" i="1"/>
  <c r="J131" i="6"/>
  <c r="AJ114" i="33"/>
  <c r="AJ87" i="26"/>
  <c r="J168" i="3"/>
  <c r="AJ41"/>
  <c r="AJ39" i="18"/>
  <c r="AJ100" i="10"/>
  <c r="J136" i="22"/>
  <c r="J63" i="23"/>
  <c r="AJ76" i="4"/>
  <c r="AJ82" i="17"/>
  <c r="AJ127" i="27"/>
  <c r="J108" i="15"/>
  <c r="J108" i="32"/>
  <c r="AJ169" i="4"/>
  <c r="AJ88" i="18"/>
  <c r="AJ5" i="6"/>
  <c r="AJ57" i="7"/>
  <c r="AJ167" i="17"/>
  <c r="AJ148" i="3"/>
  <c r="J28" i="31"/>
  <c r="AJ115" i="12"/>
  <c r="J123" i="32"/>
  <c r="J110" i="2"/>
  <c r="AJ114" i="3"/>
  <c r="AJ48" i="33"/>
  <c r="AJ61" i="20"/>
  <c r="AJ132" i="28"/>
  <c r="J157" i="23"/>
  <c r="J151" i="16"/>
  <c r="J26" i="3"/>
  <c r="J133" i="28"/>
  <c r="AJ146" i="29"/>
  <c r="AJ132" i="2"/>
  <c r="J162" i="9"/>
  <c r="J163" i="33"/>
  <c r="AJ173"/>
  <c r="AJ71" i="4"/>
  <c r="AJ119" i="29"/>
  <c r="J148" i="31"/>
  <c r="J28" i="17"/>
  <c r="AJ37" i="21"/>
  <c r="AJ25" i="22"/>
  <c r="AJ115" i="9"/>
  <c r="J184" i="22"/>
  <c r="J142" i="7"/>
  <c r="AJ161" i="21"/>
  <c r="J109" i="27"/>
  <c r="AJ77" i="30"/>
  <c r="AJ54" i="33"/>
  <c r="AJ179" i="22"/>
  <c r="AJ87" i="29"/>
  <c r="AJ120" i="17"/>
  <c r="J79" i="31"/>
  <c r="J63" i="30"/>
  <c r="J168" i="15"/>
  <c r="AJ175" i="33"/>
  <c r="AJ154" i="10"/>
  <c r="AJ33" i="21"/>
  <c r="AJ8" i="20"/>
  <c r="J39" i="11"/>
  <c r="J123" i="20"/>
  <c r="J72" i="15"/>
  <c r="J112" i="30"/>
  <c r="J21" i="22"/>
  <c r="J143" i="1"/>
  <c r="AJ16" i="20"/>
  <c r="J149" i="19"/>
  <c r="J66" i="32"/>
  <c r="J73" i="17"/>
  <c r="AJ70" i="31"/>
  <c r="J69" i="30"/>
  <c r="J118" i="1"/>
  <c r="AJ156" i="32"/>
  <c r="AJ150" i="12"/>
  <c r="AJ137" i="29"/>
  <c r="J117" i="30"/>
  <c r="J4" i="10"/>
  <c r="AJ99"/>
  <c r="J66" i="12"/>
  <c r="AJ154" i="26"/>
  <c r="AJ59" i="1"/>
  <c r="AJ56" i="10"/>
  <c r="AJ19" i="29"/>
  <c r="AJ50" i="5"/>
  <c r="AJ104" i="2"/>
  <c r="J144" i="9"/>
  <c r="AJ141" i="4"/>
  <c r="AJ162" i="23"/>
  <c r="AJ72" i="9"/>
  <c r="AJ130" i="22"/>
  <c r="AJ90" i="10"/>
  <c r="J165" i="23"/>
  <c r="AJ75" i="6"/>
  <c r="J116" i="25"/>
  <c r="AJ174" i="15"/>
  <c r="AJ18" i="21"/>
  <c r="AJ38" i="29"/>
  <c r="J45" i="16"/>
  <c r="AJ19" i="18"/>
  <c r="AJ13" i="10"/>
  <c r="AJ141" i="3"/>
  <c r="AJ119" i="4"/>
  <c r="AJ62" i="2"/>
  <c r="AJ91" i="28"/>
  <c r="AJ136" i="7"/>
  <c r="AJ123" i="2"/>
  <c r="AJ28" i="12"/>
  <c r="AJ74" i="20"/>
  <c r="J99" i="3"/>
  <c r="J36" i="22"/>
  <c r="AJ137" i="33"/>
  <c r="AJ65" i="6"/>
  <c r="J140" i="28"/>
  <c r="AJ169" i="2"/>
  <c r="AJ164" i="24"/>
  <c r="AJ89" i="21"/>
  <c r="AJ72" i="17"/>
  <c r="AJ69" i="4"/>
  <c r="AJ76" i="6"/>
  <c r="J14" i="23"/>
  <c r="J73" i="25"/>
  <c r="AJ153" i="29"/>
  <c r="AJ129" i="19"/>
  <c r="AJ134" i="7"/>
  <c r="AJ29" i="33"/>
  <c r="AJ53" i="31"/>
  <c r="J146" i="1"/>
  <c r="AJ16" i="10"/>
  <c r="AJ136" i="6"/>
  <c r="AJ136" i="15"/>
  <c r="AJ115" i="22"/>
  <c r="AJ100" i="33"/>
  <c r="AJ10" i="9"/>
  <c r="J106" i="17"/>
  <c r="AJ19" i="10"/>
  <c r="J75" i="30"/>
  <c r="J35" i="31"/>
  <c r="AJ112" i="2"/>
  <c r="AJ103" i="12"/>
  <c r="J158" i="6"/>
  <c r="AJ131" i="29"/>
  <c r="J38" i="16"/>
  <c r="J14" i="31"/>
  <c r="AJ127" i="6"/>
  <c r="AJ26" i="1"/>
  <c r="AJ179" i="33"/>
  <c r="J131" i="26"/>
  <c r="J11" i="23"/>
  <c r="AJ82" i="5"/>
  <c r="AJ9" i="18"/>
  <c r="AJ117" i="15"/>
  <c r="AJ24" i="30"/>
  <c r="J111" i="16"/>
  <c r="AJ120" i="5"/>
  <c r="AJ134" i="32"/>
  <c r="AJ90" i="3"/>
  <c r="AJ4" i="27"/>
  <c r="AJ64" i="11"/>
  <c r="AJ180" i="6"/>
  <c r="J89" i="33"/>
  <c r="AJ108" i="17"/>
  <c r="AJ40" i="32"/>
  <c r="AJ91" i="7"/>
  <c r="AJ163" i="19"/>
  <c r="AJ145" i="1"/>
  <c r="AJ7" i="10"/>
  <c r="AJ17" i="23"/>
  <c r="AJ65" i="15"/>
  <c r="AJ75" i="7"/>
  <c r="AJ48" i="21"/>
  <c r="AJ117" i="6"/>
  <c r="J91" i="22"/>
  <c r="J125" i="31"/>
  <c r="AJ172" i="27"/>
  <c r="J93" i="1"/>
  <c r="AJ103" i="27"/>
  <c r="AJ53" i="1"/>
  <c r="AJ24" i="22"/>
  <c r="J81" i="23"/>
  <c r="J47" i="33"/>
  <c r="AJ69" i="9"/>
  <c r="AJ34" i="5"/>
  <c r="AJ18" i="2"/>
  <c r="J137" i="9"/>
  <c r="J107" i="20"/>
  <c r="J149" i="27"/>
  <c r="J80" i="20"/>
  <c r="J169" i="12"/>
  <c r="AJ118"/>
  <c r="J166" i="2"/>
  <c r="AJ145" i="24"/>
  <c r="J127" i="4"/>
  <c r="J47" i="9"/>
  <c r="J91" i="29"/>
  <c r="J37" i="18"/>
  <c r="J24" i="24"/>
  <c r="J120" i="18"/>
  <c r="J128" i="32"/>
  <c r="J115"/>
  <c r="J80"/>
  <c r="J141" i="10"/>
  <c r="J73" i="23"/>
  <c r="J142" i="5"/>
  <c r="J21" i="26"/>
  <c r="J113" i="20"/>
  <c r="J47" i="2"/>
  <c r="J53" i="25"/>
  <c r="J132" i="28"/>
  <c r="J172" i="4"/>
  <c r="J161" i="28"/>
  <c r="J3" i="2"/>
  <c r="J54" i="28"/>
  <c r="J4" i="3"/>
  <c r="J96" i="4"/>
  <c r="J133" i="27"/>
  <c r="J119" i="5"/>
  <c r="J53" i="20"/>
  <c r="J36" i="12"/>
  <c r="J137" i="33"/>
  <c r="J16" i="29"/>
  <c r="AJ152"/>
  <c r="J77" i="26"/>
  <c r="J64" i="3"/>
  <c r="J61"/>
  <c r="J58" i="26"/>
  <c r="AJ73"/>
  <c r="J150" i="25"/>
  <c r="J5" i="32"/>
  <c r="J160" i="31"/>
  <c r="J44" i="19"/>
  <c r="J161"/>
  <c r="J153" i="23"/>
  <c r="J145" i="1"/>
  <c r="J11" i="17"/>
  <c r="AJ13" i="20"/>
  <c r="J176" i="33"/>
  <c r="AJ43" i="24"/>
  <c r="J37" i="10"/>
  <c r="J59" i="12"/>
  <c r="J117" i="6"/>
  <c r="J8" i="31"/>
  <c r="J110" i="7"/>
  <c r="AJ168" i="26"/>
  <c r="J96" i="33"/>
  <c r="J121" i="17"/>
  <c r="J185" i="20"/>
  <c r="J64" i="10"/>
  <c r="J111" i="6"/>
  <c r="J153" i="2"/>
  <c r="AJ38" i="24"/>
  <c r="J74" i="2"/>
  <c r="AJ5" i="28"/>
  <c r="AJ88" i="4"/>
  <c r="AJ30" i="28"/>
  <c r="J74" i="19"/>
  <c r="AJ40" i="26"/>
  <c r="J45" i="9"/>
  <c r="J180" i="2"/>
  <c r="J111" i="1"/>
  <c r="J147"/>
  <c r="J71" i="5"/>
  <c r="AJ84" i="26"/>
  <c r="AJ16" i="24"/>
  <c r="J180" i="4"/>
  <c r="AJ155" i="24"/>
  <c r="J35" i="33"/>
  <c r="J36" i="10"/>
  <c r="J23" i="16"/>
  <c r="J47" i="4"/>
  <c r="AJ23" i="20"/>
  <c r="J44" i="10"/>
  <c r="J43" i="22"/>
  <c r="J125"/>
  <c r="J42" i="26"/>
  <c r="J42" i="25"/>
  <c r="AJ58" i="20"/>
  <c r="J179" i="26"/>
  <c r="J134" i="21"/>
  <c r="J149" i="17"/>
  <c r="AJ36" i="24"/>
  <c r="J3" i="31"/>
  <c r="J31" i="16"/>
  <c r="J106"/>
  <c r="AJ176" i="23"/>
  <c r="J69" i="9"/>
  <c r="AJ148" i="2"/>
  <c r="AJ93" i="12"/>
  <c r="AJ37" i="23"/>
  <c r="AJ7" i="12"/>
  <c r="J179" i="24"/>
  <c r="J66" i="33"/>
  <c r="J15" i="15"/>
  <c r="J9" i="17"/>
  <c r="J21" i="12"/>
  <c r="J47" i="19"/>
  <c r="J6" i="32"/>
  <c r="J23" i="3"/>
  <c r="AJ22" i="12"/>
  <c r="J121" i="4"/>
  <c r="J134" i="26"/>
  <c r="AJ10" i="2"/>
  <c r="AJ63" i="4"/>
  <c r="J102" i="3"/>
  <c r="AJ10"/>
  <c r="J44"/>
  <c r="J42"/>
  <c r="AJ85" i="4"/>
  <c r="J111" i="32"/>
  <c r="J79" i="12"/>
  <c r="J13" i="23"/>
  <c r="AJ152" i="4"/>
  <c r="AJ30" i="27"/>
  <c r="AJ34" i="29"/>
  <c r="J60" i="28"/>
  <c r="J106" i="19"/>
  <c r="J68" i="7"/>
  <c r="AJ56" i="2"/>
  <c r="J14" i="17"/>
  <c r="AJ74" i="4"/>
  <c r="AJ23" i="12"/>
  <c r="J173" i="15"/>
  <c r="J72" i="32"/>
  <c r="AJ102" i="10"/>
  <c r="AJ22"/>
  <c r="J59" i="22"/>
  <c r="J148" i="4"/>
  <c r="AJ49" i="17"/>
  <c r="AJ5" i="26"/>
  <c r="AJ164" i="10"/>
  <c r="J135" i="5"/>
  <c r="J177" i="16"/>
  <c r="J147" i="11"/>
  <c r="J9" i="10"/>
  <c r="AJ129" i="28"/>
  <c r="J84" i="3"/>
  <c r="AJ28" i="4"/>
  <c r="AJ103" i="22"/>
  <c r="J8" i="5"/>
  <c r="AJ116" i="27"/>
  <c r="AJ32" i="3"/>
  <c r="J31" i="6"/>
  <c r="J130" i="30"/>
  <c r="AJ116" i="5"/>
  <c r="J178" i="6"/>
  <c r="AJ43" i="22"/>
  <c r="J133" i="2"/>
  <c r="J170" i="30"/>
  <c r="J163" i="11"/>
  <c r="AJ152" i="1"/>
  <c r="AJ32" i="21"/>
  <c r="J114" i="4"/>
  <c r="AJ85" i="2"/>
  <c r="AJ93" i="22"/>
  <c r="AJ7" i="21"/>
  <c r="AJ79" i="27"/>
  <c r="AJ122" i="33"/>
  <c r="AJ130" i="12"/>
  <c r="J140" i="7"/>
  <c r="AJ58" i="17"/>
  <c r="J171" i="23"/>
  <c r="AJ30" i="3"/>
  <c r="J120" i="17"/>
  <c r="J154" i="3"/>
  <c r="J25" i="15"/>
  <c r="AJ104" i="9"/>
  <c r="J113" i="30"/>
  <c r="J85" i="11"/>
  <c r="J174" i="5"/>
  <c r="AJ130" i="3"/>
  <c r="J64" i="9"/>
  <c r="AJ160"/>
  <c r="AJ29" i="10"/>
  <c r="J109" i="30"/>
  <c r="J84" i="33"/>
  <c r="AJ36" i="22"/>
  <c r="J180" i="17"/>
  <c r="AJ105" i="7"/>
  <c r="J21" i="27"/>
  <c r="AJ83" i="12"/>
  <c r="J141" i="23"/>
  <c r="AJ67" i="7"/>
  <c r="J34" i="10"/>
  <c r="J23" i="32"/>
  <c r="AJ158" i="29"/>
  <c r="AJ16" i="7"/>
  <c r="J65" i="32"/>
  <c r="AJ139" i="2"/>
  <c r="AJ63" i="1"/>
  <c r="J6" i="20"/>
  <c r="J85" i="33"/>
  <c r="AJ105" i="15"/>
  <c r="AJ37" i="3"/>
  <c r="AJ25" i="1"/>
  <c r="AJ27" i="4"/>
  <c r="J183" i="5"/>
  <c r="AJ138" i="29"/>
  <c r="AJ118" i="28"/>
  <c r="AJ75" i="10"/>
  <c r="AJ175" i="20"/>
  <c r="AJ176" i="10"/>
  <c r="AJ44" i="18"/>
  <c r="AJ5" i="10"/>
  <c r="J160" i="2"/>
  <c r="AJ65"/>
  <c r="AJ57" i="19"/>
  <c r="AJ79" i="4"/>
  <c r="AJ169" i="7"/>
  <c r="J178" i="27"/>
  <c r="AJ150" i="23"/>
  <c r="AJ24" i="32"/>
  <c r="AJ100" i="1"/>
  <c r="AJ22" i="9"/>
  <c r="AJ7" i="6"/>
  <c r="AJ81" i="22"/>
  <c r="J145" i="17"/>
  <c r="AJ184" i="21"/>
  <c r="J93" i="27"/>
  <c r="J114" i="17"/>
  <c r="J184" i="33"/>
  <c r="J93" i="23"/>
  <c r="J184" i="32"/>
  <c r="AJ175" i="4"/>
  <c r="AJ167"/>
  <c r="AJ159" i="23"/>
  <c r="AJ102" i="32"/>
  <c r="AJ78" i="22"/>
  <c r="AJ159" i="6"/>
  <c r="AJ59" i="24"/>
  <c r="AJ161" i="28"/>
  <c r="AJ107" i="19"/>
  <c r="AJ63" i="20"/>
  <c r="AJ34" i="19"/>
  <c r="AJ143" i="15"/>
  <c r="AJ70" i="21"/>
  <c r="AJ168" i="16"/>
  <c r="AJ27" i="31"/>
  <c r="AJ117" i="5"/>
  <c r="J5" i="7"/>
  <c r="AJ84" i="28"/>
  <c r="AJ157" i="22"/>
  <c r="AJ101" i="30"/>
  <c r="AJ49" i="7"/>
  <c r="AJ44" i="30"/>
  <c r="AJ35" i="16"/>
  <c r="J109" i="26"/>
  <c r="AJ129" i="21"/>
  <c r="AJ32" i="20"/>
  <c r="AJ91" i="2"/>
  <c r="AJ160"/>
  <c r="J93" i="20"/>
  <c r="J44" i="11"/>
  <c r="J91" i="19"/>
  <c r="J66" i="16"/>
  <c r="J31" i="24"/>
  <c r="J95" i="7"/>
  <c r="J162" i="30"/>
  <c r="J73" i="20"/>
  <c r="J18" i="2"/>
  <c r="J170" i="19"/>
  <c r="J122" i="22"/>
  <c r="J129" i="2"/>
  <c r="J109" i="5"/>
  <c r="J185" i="21"/>
  <c r="J51" i="18"/>
  <c r="J69" i="17"/>
  <c r="J184" i="28"/>
  <c r="J172" i="18"/>
  <c r="J74" i="3"/>
  <c r="J6" i="12"/>
  <c r="J38" i="24"/>
  <c r="J114" i="21"/>
  <c r="J132" i="12"/>
  <c r="J45" i="28"/>
  <c r="J184" i="7"/>
  <c r="J65" i="21"/>
  <c r="J176" i="9"/>
  <c r="J86"/>
  <c r="J126" i="27"/>
  <c r="J36" i="4"/>
  <c r="J160" i="27"/>
  <c r="AJ62" i="21"/>
  <c r="J173" i="24"/>
  <c r="J13" i="7"/>
  <c r="J51" i="3"/>
  <c r="AJ119" i="28"/>
  <c r="J53" i="17"/>
  <c r="J120" i="26"/>
  <c r="J121" i="19"/>
  <c r="J68" i="33"/>
  <c r="J147"/>
  <c r="J52" i="17"/>
  <c r="J11" i="30"/>
  <c r="J174" i="23"/>
  <c r="J65" i="10"/>
  <c r="J67" i="5"/>
  <c r="J120" i="28"/>
  <c r="J135" i="29"/>
  <c r="J10" i="33"/>
  <c r="J112" i="16"/>
  <c r="J11"/>
  <c r="J24" i="31"/>
  <c r="J157" i="9"/>
  <c r="AJ173" i="26"/>
  <c r="J51" i="7"/>
  <c r="J69" i="11"/>
  <c r="J30" i="1"/>
  <c r="J85" i="31"/>
  <c r="J68" i="30"/>
  <c r="J86" i="28"/>
  <c r="J94" i="10"/>
  <c r="J131" i="24"/>
  <c r="AJ85" i="18"/>
  <c r="AJ140"/>
  <c r="J122" i="6"/>
  <c r="J181" i="23"/>
  <c r="AJ155" i="28"/>
  <c r="J176" i="30"/>
  <c r="J20" i="4"/>
  <c r="J3" i="25"/>
  <c r="J123" i="4"/>
  <c r="J23" i="22"/>
  <c r="AJ34" i="24"/>
  <c r="J143" i="5"/>
  <c r="J64" i="18"/>
  <c r="J167" i="11"/>
  <c r="J38" i="19"/>
  <c r="J24" i="4"/>
  <c r="AJ4"/>
  <c r="J76" i="7"/>
  <c r="J61" i="10"/>
  <c r="J35" i="32"/>
  <c r="AJ30" i="20"/>
  <c r="J4" i="11"/>
  <c r="J118" i="5"/>
  <c r="J43" i="28"/>
  <c r="J51" i="16"/>
  <c r="J119" i="6"/>
  <c r="J148" i="5"/>
  <c r="J38" i="32"/>
  <c r="J97" i="27"/>
  <c r="J158" i="3"/>
  <c r="J74" i="9"/>
  <c r="J6" i="10"/>
  <c r="AJ64" i="18"/>
  <c r="J82" i="1"/>
  <c r="AJ130" i="23"/>
  <c r="J120" i="22"/>
  <c r="AJ49" i="2"/>
  <c r="J65" i="5"/>
  <c r="J10" i="23"/>
  <c r="J182" i="22"/>
  <c r="J81" i="26"/>
  <c r="J45" i="3"/>
  <c r="J180" i="33"/>
  <c r="AJ114" i="4"/>
  <c r="J185" i="5"/>
  <c r="J72" i="9"/>
  <c r="AJ103" i="10"/>
  <c r="J179" i="31"/>
  <c r="AJ169" i="26"/>
  <c r="J116" i="3"/>
  <c r="J11" i="27"/>
  <c r="AJ137" i="2"/>
  <c r="AJ6" i="4"/>
  <c r="AJ94" i="2"/>
  <c r="J141" i="22"/>
  <c r="J163" i="7"/>
  <c r="AJ17" i="30"/>
  <c r="J39" i="4"/>
  <c r="AJ117" i="12"/>
  <c r="J135" i="17"/>
  <c r="AJ175" i="5"/>
  <c r="J172" i="11"/>
  <c r="AJ86" i="20"/>
  <c r="J8" i="7"/>
  <c r="AJ98"/>
  <c r="AJ110" i="29"/>
  <c r="AJ122" i="3"/>
  <c r="J160" i="7"/>
  <c r="AJ172" i="28"/>
  <c r="J31" i="19"/>
  <c r="J15" i="7"/>
  <c r="AJ141" i="22"/>
  <c r="J148" i="32"/>
  <c r="AJ57" i="30"/>
  <c r="AJ70" i="9"/>
  <c r="AJ143" i="29"/>
  <c r="AJ84" i="30"/>
  <c r="AJ138" i="21"/>
  <c r="J147" i="31"/>
  <c r="J47" i="17"/>
  <c r="J184" i="26"/>
  <c r="AJ63" i="10"/>
  <c r="J4" i="5"/>
  <c r="AJ32" i="24"/>
  <c r="J134" i="11"/>
  <c r="AJ154" i="29"/>
  <c r="AJ41" i="2"/>
  <c r="AJ134" i="5"/>
  <c r="J150" i="32"/>
  <c r="J147" i="7"/>
  <c r="AJ47" i="33"/>
  <c r="AJ54" i="29"/>
  <c r="AJ50" i="21"/>
  <c r="AJ170" i="26"/>
  <c r="J145" i="19"/>
  <c r="J167" i="23"/>
  <c r="J177" i="11"/>
  <c r="AJ18" i="12"/>
  <c r="J145" i="16"/>
  <c r="J184" i="5"/>
  <c r="J61" i="7"/>
  <c r="AJ110" i="18"/>
  <c r="J91" i="24"/>
  <c r="AJ110" i="17"/>
  <c r="AJ25"/>
  <c r="J60" i="27"/>
  <c r="AJ179" i="10"/>
  <c r="AJ50" i="18"/>
  <c r="J182" i="5"/>
  <c r="J23" i="27"/>
  <c r="J133" i="3"/>
  <c r="J89" i="1"/>
  <c r="J61" i="28"/>
  <c r="J148" i="19"/>
  <c r="J160"/>
  <c r="J184" i="12"/>
  <c r="AJ97" i="29"/>
  <c r="AJ33" i="4"/>
  <c r="J178" i="31"/>
  <c r="AJ135" i="22"/>
  <c r="AJ11"/>
  <c r="J43" i="27"/>
  <c r="AJ74" i="28"/>
  <c r="AJ97" i="2"/>
  <c r="J152" i="15"/>
  <c r="J11" i="7"/>
  <c r="J98"/>
  <c r="J136" i="33"/>
  <c r="J122" i="32"/>
  <c r="AJ52" i="24"/>
  <c r="J61" i="30"/>
  <c r="J150" i="22"/>
  <c r="J59" i="23"/>
  <c r="J161" i="22"/>
  <c r="J6" i="19"/>
  <c r="J151" i="1"/>
  <c r="AJ45" i="17"/>
  <c r="AJ134" i="26"/>
  <c r="J100" i="12"/>
  <c r="AJ123" i="30"/>
  <c r="AJ133" i="4"/>
  <c r="AJ119" i="5"/>
  <c r="J96" i="16"/>
  <c r="AJ150" i="2"/>
  <c r="AJ137" i="11"/>
  <c r="J146" i="5"/>
  <c r="J31" i="15"/>
  <c r="AJ123" i="24"/>
  <c r="J76" i="16"/>
  <c r="J135" i="7"/>
  <c r="J14" i="27"/>
  <c r="J82" i="31"/>
  <c r="J44" i="22"/>
  <c r="J39" i="3"/>
  <c r="AJ49" i="27"/>
  <c r="J128" i="9"/>
  <c r="AJ74" i="32"/>
  <c r="AJ41" i="18"/>
  <c r="AJ64" i="29"/>
  <c r="AJ86" i="19"/>
  <c r="AJ137" i="7"/>
  <c r="J29" i="33"/>
  <c r="AJ89" i="6"/>
  <c r="AJ110" i="23"/>
  <c r="J94" i="33"/>
  <c r="J130" i="27"/>
  <c r="J108" i="19"/>
  <c r="J148" i="20"/>
  <c r="AJ117" i="19"/>
  <c r="AJ153" i="20"/>
  <c r="AJ68" i="5"/>
  <c r="J45" i="31"/>
  <c r="AJ96" i="23"/>
  <c r="AJ162" i="33"/>
  <c r="AJ80" i="12"/>
  <c r="AJ133" i="10"/>
  <c r="J52" i="22"/>
  <c r="AJ150" i="32"/>
  <c r="AJ136" i="30"/>
  <c r="AJ79" i="22"/>
  <c r="AJ151" i="5"/>
  <c r="AJ48" i="29"/>
  <c r="AJ126" i="19"/>
  <c r="AJ137" i="3"/>
  <c r="AJ52" i="31"/>
  <c r="AJ70" i="12"/>
  <c r="AJ149" i="23"/>
  <c r="AJ138" i="5"/>
  <c r="AJ27" i="17"/>
  <c r="AJ167" i="15"/>
  <c r="AJ90" i="19"/>
  <c r="AJ18" i="10"/>
  <c r="AJ68" i="32"/>
  <c r="J16" i="18"/>
  <c r="J77" i="21"/>
  <c r="J71" i="15"/>
  <c r="J184" i="9"/>
  <c r="J8" i="25"/>
  <c r="J160" i="12"/>
  <c r="J169" i="32"/>
  <c r="J150" i="5"/>
  <c r="J113" i="4"/>
  <c r="J50" i="21"/>
  <c r="J171" i="20"/>
  <c r="J44" i="24"/>
  <c r="J121" i="31"/>
  <c r="J18" i="12"/>
  <c r="J78" i="21"/>
  <c r="J45" i="32"/>
  <c r="J13" i="24"/>
  <c r="J82" i="18"/>
  <c r="J145" i="30"/>
  <c r="J51" i="29"/>
  <c r="J31" i="10"/>
  <c r="AJ113" i="18"/>
  <c r="J81" i="6"/>
  <c r="J25" i="22"/>
  <c r="J183" i="2"/>
  <c r="J36" i="17"/>
  <c r="J106" i="20"/>
  <c r="J165" i="10"/>
  <c r="AJ83" i="2"/>
  <c r="J178" i="10"/>
  <c r="J37" i="26"/>
  <c r="J180"/>
  <c r="J49" i="12"/>
  <c r="J149" i="24"/>
  <c r="J148" i="30"/>
  <c r="J30" i="27"/>
  <c r="J159" i="31"/>
  <c r="J160" i="21"/>
  <c r="J143" i="2"/>
  <c r="J134" i="24"/>
  <c r="J128" i="19"/>
  <c r="J120" i="32"/>
  <c r="J47" i="6"/>
  <c r="J47" i="23"/>
  <c r="J174" i="15"/>
  <c r="AJ166" i="26"/>
  <c r="J116" i="10"/>
  <c r="J52" i="6"/>
  <c r="J135"/>
  <c r="AJ33" i="7"/>
  <c r="J172" i="24"/>
  <c r="J167" i="10"/>
  <c r="J154" i="12"/>
  <c r="J36" i="2"/>
  <c r="J54" i="16"/>
  <c r="J152" i="31"/>
  <c r="J15" i="6"/>
  <c r="AJ94" i="33"/>
  <c r="J6" i="3"/>
  <c r="J28" i="32"/>
  <c r="J110" i="4"/>
  <c r="J132" i="11"/>
  <c r="J56"/>
  <c r="AJ173" i="28"/>
  <c r="AJ161" i="18"/>
  <c r="J97" i="3"/>
  <c r="J80" i="1"/>
  <c r="J46" i="22"/>
  <c r="J21" i="31"/>
  <c r="J65" i="19"/>
  <c r="J20" i="17"/>
  <c r="J165"/>
  <c r="AJ122" i="20"/>
  <c r="J178" i="3"/>
  <c r="J170" i="32"/>
  <c r="J85" i="27"/>
  <c r="AJ52" i="2"/>
  <c r="AJ88" i="22"/>
  <c r="J64" i="33"/>
  <c r="J64" i="29"/>
  <c r="AJ97" i="4"/>
  <c r="J66" i="23"/>
  <c r="J56"/>
  <c r="J44" i="21"/>
  <c r="J88" i="1"/>
  <c r="J23" i="15"/>
  <c r="J67" i="6"/>
  <c r="J93" i="30"/>
  <c r="J115" i="23"/>
  <c r="J113" i="9"/>
  <c r="J116" i="26"/>
  <c r="J61" i="33"/>
  <c r="AJ73" i="12"/>
  <c r="J31" i="2"/>
  <c r="AJ160" i="29"/>
  <c r="J10" i="10"/>
  <c r="AJ59" i="18"/>
  <c r="J111" i="17"/>
  <c r="AJ151" i="23"/>
  <c r="J116" i="5"/>
  <c r="J10" i="15"/>
  <c r="J30" i="11"/>
  <c r="J10" i="27"/>
  <c r="J121" i="9"/>
  <c r="J178" i="16"/>
  <c r="AJ135" i="24"/>
  <c r="J4" i="29"/>
  <c r="AJ172" i="2"/>
  <c r="AJ101" i="12"/>
  <c r="J69" i="7"/>
  <c r="AJ157" i="19"/>
  <c r="J140" i="1"/>
  <c r="AJ26" i="26"/>
  <c r="J43" i="23"/>
  <c r="J180" i="6"/>
  <c r="J18" i="7"/>
  <c r="J87" i="10"/>
  <c r="AJ62" i="12"/>
  <c r="AJ144" i="3"/>
  <c r="AJ125" i="27"/>
  <c r="AJ97" i="26"/>
  <c r="AJ172" i="18"/>
  <c r="AJ58" i="28"/>
  <c r="J79" i="11"/>
  <c r="J118" i="19"/>
  <c r="J77" i="12"/>
  <c r="AJ93" i="29"/>
  <c r="J74" i="11"/>
  <c r="AJ37" i="18"/>
  <c r="AJ129" i="6"/>
  <c r="J91" i="3"/>
  <c r="AJ55" i="27"/>
  <c r="J151" i="7"/>
  <c r="AJ43" i="20"/>
  <c r="AJ20" i="26"/>
  <c r="J38" i="11"/>
  <c r="AJ119" i="22"/>
  <c r="J84" i="17"/>
  <c r="AJ25" i="33"/>
  <c r="AJ38" i="18"/>
  <c r="J126" i="29"/>
  <c r="J43" i="32"/>
  <c r="J28" i="9"/>
  <c r="AJ77" i="26"/>
  <c r="J137" i="21"/>
  <c r="AJ107" i="12"/>
  <c r="AJ110" i="26"/>
  <c r="J168" i="33"/>
  <c r="J181" i="5"/>
  <c r="AJ111" i="28"/>
  <c r="AJ74" i="29"/>
  <c r="AJ64" i="24"/>
  <c r="J8" i="3"/>
  <c r="AJ26" i="22"/>
  <c r="J6" i="6"/>
  <c r="AJ92" i="20"/>
  <c r="J119" i="31"/>
  <c r="J122" i="7"/>
  <c r="J163" i="31"/>
  <c r="J137" i="11"/>
  <c r="J75" i="2"/>
  <c r="J143" i="33"/>
  <c r="J149" i="9"/>
  <c r="J99" i="7"/>
  <c r="J45" i="22"/>
  <c r="AJ120" i="20"/>
  <c r="AJ104" i="28"/>
  <c r="J59" i="11"/>
  <c r="AJ99"/>
  <c r="AJ66" i="23"/>
  <c r="AJ99" i="1"/>
  <c r="AJ19" i="4"/>
  <c r="J4" i="22"/>
  <c r="J49" i="32"/>
  <c r="J45" i="26"/>
  <c r="AJ10" i="28"/>
  <c r="J73" i="18"/>
  <c r="AJ174" i="12"/>
  <c r="J128" i="5"/>
  <c r="AJ149" i="29"/>
  <c r="J79" i="3"/>
  <c r="AJ155" i="4"/>
  <c r="AJ182" i="20"/>
  <c r="J122" i="24"/>
  <c r="AJ137" i="15"/>
  <c r="AJ55" i="3"/>
  <c r="AJ47" i="27"/>
  <c r="AJ66" i="12"/>
  <c r="J59" i="30"/>
  <c r="J159" i="22"/>
  <c r="J108" i="23"/>
  <c r="AJ80" i="5"/>
  <c r="J118" i="25"/>
  <c r="J119" i="20"/>
  <c r="J150" i="1"/>
  <c r="AJ166" i="33"/>
  <c r="AJ148" i="24"/>
  <c r="AJ28" i="6"/>
  <c r="AJ56" i="4"/>
  <c r="AJ164" i="26"/>
  <c r="J94" i="17"/>
  <c r="AJ37" i="7"/>
  <c r="AJ95" i="28"/>
  <c r="AJ47" i="29"/>
  <c r="AJ68" i="23"/>
  <c r="AJ90" i="12"/>
  <c r="AJ146" i="6"/>
  <c r="AJ62" i="10"/>
  <c r="AJ108" i="31"/>
  <c r="AJ95" i="10"/>
  <c r="AJ84" i="31"/>
  <c r="AJ87" i="28"/>
  <c r="AJ45" i="31"/>
  <c r="J23"/>
  <c r="J73" i="30"/>
  <c r="AJ177" i="28"/>
  <c r="AJ49" i="29"/>
  <c r="AJ79" i="20"/>
  <c r="J53" i="10"/>
  <c r="AJ178" i="18"/>
  <c r="AJ98" i="15"/>
  <c r="AJ10" i="30"/>
  <c r="AJ59" i="15"/>
  <c r="AJ55" i="22"/>
  <c r="AJ89" i="7"/>
  <c r="AJ48" i="1"/>
  <c r="J169" i="23"/>
  <c r="J166" i="31"/>
  <c r="J184" i="19"/>
  <c r="J92" i="17"/>
  <c r="AJ118" i="23"/>
  <c r="AJ128" i="10"/>
  <c r="J181" i="7"/>
  <c r="J129" i="17"/>
  <c r="AJ122" i="26"/>
  <c r="J133"/>
  <c r="AJ115" i="31"/>
  <c r="AJ89" i="19"/>
  <c r="AJ126" i="7"/>
  <c r="AJ107" i="29"/>
  <c r="AJ135" i="7"/>
  <c r="AJ176" i="11"/>
  <c r="AJ51" i="18"/>
  <c r="AJ68" i="10"/>
  <c r="AJ108" i="32"/>
  <c r="AJ112" i="31"/>
  <c r="AJ59" i="9"/>
  <c r="AJ21" i="7"/>
  <c r="J87"/>
  <c r="AJ40" i="22"/>
  <c r="AJ45" i="29"/>
  <c r="AJ145" i="15"/>
  <c r="AJ106" i="23"/>
  <c r="AJ67" i="24"/>
  <c r="AJ17" i="1"/>
  <c r="J43" i="19"/>
  <c r="J146" i="15"/>
  <c r="J128" i="10"/>
  <c r="J57" i="26"/>
  <c r="J161" i="6"/>
  <c r="J109" i="4"/>
  <c r="J96" i="26"/>
  <c r="J46" i="23"/>
  <c r="J145" i="2"/>
  <c r="J25" i="4"/>
  <c r="J82" i="3"/>
  <c r="J13" i="20"/>
  <c r="J141" i="26"/>
  <c r="J143" i="17"/>
  <c r="J75" i="26"/>
  <c r="J117" i="2"/>
  <c r="J97" i="1"/>
  <c r="J135" i="12"/>
  <c r="J151" i="24"/>
  <c r="J3" i="6"/>
  <c r="J183" i="17"/>
  <c r="J149" i="29"/>
  <c r="J114" i="15"/>
  <c r="J132" i="33"/>
  <c r="J170" i="4"/>
  <c r="J133" i="21"/>
  <c r="J49" i="26"/>
  <c r="J6" i="5"/>
  <c r="J147" i="15"/>
  <c r="J33" i="22"/>
  <c r="J108" i="18"/>
  <c r="J20" i="29"/>
  <c r="J42" i="27"/>
  <c r="J29" i="28"/>
  <c r="J121" i="12"/>
  <c r="J142" i="20"/>
  <c r="J40" i="17"/>
  <c r="J97" i="11"/>
  <c r="J148" i="25"/>
  <c r="J114" i="18"/>
  <c r="J120" i="2"/>
  <c r="J109" i="15"/>
  <c r="J89" i="19"/>
  <c r="J75" i="20"/>
  <c r="J51" i="27"/>
  <c r="J118" i="23"/>
  <c r="J100" i="2"/>
  <c r="J71" i="19"/>
  <c r="AJ116" i="4"/>
  <c r="J73" i="10"/>
  <c r="AJ171" i="12"/>
  <c r="AJ30"/>
  <c r="J177" i="29"/>
  <c r="AJ72" i="26"/>
  <c r="J143" i="25"/>
  <c r="AJ167" i="24"/>
  <c r="AJ182" i="2"/>
  <c r="J43" i="4"/>
  <c r="AJ65" i="26"/>
  <c r="J168" i="31"/>
  <c r="J182" i="26"/>
  <c r="J57" i="7"/>
  <c r="AJ50" i="26"/>
  <c r="AJ46" i="20"/>
  <c r="AJ47" i="26"/>
  <c r="AJ165" i="4"/>
  <c r="AJ50" i="9"/>
  <c r="AJ179" i="26"/>
  <c r="AJ57" i="4"/>
  <c r="AJ85" i="26"/>
  <c r="J10" i="20"/>
  <c r="J183" i="33"/>
  <c r="J162" i="31"/>
  <c r="J101" i="6"/>
  <c r="J112" i="4"/>
  <c r="J56" i="22"/>
  <c r="J108" i="7"/>
  <c r="AJ73" i="24"/>
  <c r="AJ34" i="4"/>
  <c r="AJ32" i="2"/>
  <c r="AJ164" i="22"/>
  <c r="J112" i="1"/>
  <c r="AJ168" i="31"/>
  <c r="J3" i="32"/>
  <c r="AJ141" i="12"/>
  <c r="AJ134" i="24"/>
  <c r="J131" i="31"/>
  <c r="J147" i="9"/>
  <c r="J56" i="15"/>
  <c r="J115" i="6"/>
  <c r="J106" i="10"/>
  <c r="J123" i="11"/>
  <c r="J81" i="1"/>
  <c r="J49" i="30"/>
  <c r="J132" i="31"/>
  <c r="AJ163" i="20"/>
  <c r="AJ40" i="28"/>
  <c r="J129" i="1"/>
  <c r="AJ39" i="23"/>
  <c r="J72" i="1"/>
  <c r="AJ184" i="2"/>
  <c r="J148" i="29"/>
  <c r="J18" i="24"/>
  <c r="AJ152" i="21"/>
  <c r="J165" i="25"/>
  <c r="J76" i="3"/>
  <c r="J111" i="30"/>
  <c r="J153" i="3"/>
  <c r="J29" i="16"/>
  <c r="AJ38" i="21"/>
  <c r="J139" i="16"/>
  <c r="AJ67" i="4"/>
  <c r="J57" i="16"/>
  <c r="AJ35" i="18"/>
  <c r="J97" i="7"/>
  <c r="AJ65" i="21"/>
  <c r="J77" i="27"/>
  <c r="AJ145" i="12"/>
  <c r="J153" i="15"/>
  <c r="AJ132" i="30"/>
  <c r="AJ23" i="6"/>
  <c r="J84"/>
  <c r="AJ139" i="3"/>
  <c r="AJ145" i="4"/>
  <c r="AJ183" i="7"/>
  <c r="AJ130" i="18"/>
  <c r="J84" i="12"/>
  <c r="J10" i="16"/>
  <c r="J100" i="31"/>
  <c r="AJ96" i="28"/>
  <c r="AJ29" i="29"/>
  <c r="J30" i="19"/>
  <c r="AJ161" i="27"/>
  <c r="AJ47" i="17"/>
  <c r="AJ94" i="28"/>
  <c r="J141" i="31"/>
  <c r="AJ60" i="20"/>
  <c r="J157" i="33"/>
  <c r="AJ93" i="3"/>
  <c r="J63" i="6"/>
  <c r="AJ72" i="15"/>
  <c r="AJ148" i="22"/>
  <c r="J147" i="4"/>
  <c r="J109" i="33"/>
  <c r="AJ140" i="24"/>
  <c r="J171" i="22"/>
  <c r="J69" i="27"/>
  <c r="J86" i="7"/>
  <c r="AJ8" i="29"/>
  <c r="J81" i="11"/>
  <c r="J35" i="2"/>
  <c r="AJ94" i="23"/>
  <c r="AJ42" i="4"/>
  <c r="AJ14" i="9"/>
  <c r="AJ40" i="10"/>
  <c r="J80" i="3"/>
  <c r="J64" i="5"/>
  <c r="AJ44" i="17"/>
  <c r="J177"/>
  <c r="J69" i="31"/>
  <c r="J123" i="29"/>
  <c r="J122" i="30"/>
  <c r="J180" i="16"/>
  <c r="J89" i="9"/>
  <c r="AJ11" i="28"/>
  <c r="AJ118" i="24"/>
  <c r="AJ116"/>
  <c r="AJ73" i="10"/>
  <c r="J134" i="9"/>
  <c r="AJ152" i="31"/>
  <c r="AJ22" i="29"/>
  <c r="AJ8" i="18"/>
  <c r="J136" i="30"/>
  <c r="AJ165" i="22"/>
  <c r="J172" i="9"/>
  <c r="J100" i="17"/>
  <c r="J106" i="23"/>
  <c r="AJ146" i="4"/>
  <c r="AJ28" i="20"/>
  <c r="J38" i="17"/>
  <c r="AJ172" i="20"/>
  <c r="AJ28" i="15"/>
  <c r="J68" i="16"/>
  <c r="AJ144" i="2"/>
  <c r="J40" i="27"/>
  <c r="AJ100" i="6"/>
  <c r="AJ127" i="18"/>
  <c r="AJ83" i="26"/>
  <c r="J72" i="21"/>
  <c r="AJ18" i="23"/>
  <c r="J126" i="33"/>
  <c r="J166" i="3"/>
  <c r="J59" i="27"/>
  <c r="J76" i="11"/>
  <c r="J50" i="3"/>
  <c r="AJ114" i="24"/>
  <c r="AJ28" i="10"/>
  <c r="AJ47" i="32"/>
  <c r="J182" i="31"/>
  <c r="AJ93" i="20"/>
  <c r="AJ29" i="31"/>
  <c r="AJ15" i="2"/>
  <c r="AJ168" i="33"/>
  <c r="AJ132" i="22"/>
  <c r="AJ96" i="21"/>
  <c r="AJ109" i="19"/>
  <c r="AJ128" i="3"/>
  <c r="AJ40" i="1"/>
  <c r="AJ157" i="16"/>
  <c r="AJ13" i="19"/>
  <c r="J54" i="10"/>
  <c r="AJ63" i="19"/>
  <c r="J154" i="33"/>
  <c r="AJ146" i="19"/>
  <c r="AJ131" i="24"/>
  <c r="AJ21" i="20"/>
  <c r="J132" i="27"/>
  <c r="J79" i="19"/>
  <c r="AJ30" i="4"/>
  <c r="J16" i="9"/>
  <c r="AJ153" i="21"/>
  <c r="AJ137" i="18"/>
  <c r="AJ25" i="30"/>
  <c r="AJ133" i="22"/>
  <c r="AJ113" i="9"/>
  <c r="AJ69" i="10"/>
  <c r="AJ36" i="15"/>
  <c r="AJ61" i="33"/>
  <c r="J40" i="4"/>
  <c r="J81" i="17"/>
  <c r="AJ23" i="9"/>
  <c r="AJ81" i="32"/>
  <c r="J185" i="1"/>
  <c r="AJ98" i="31"/>
  <c r="AJ126" i="21"/>
  <c r="AJ115" i="20"/>
  <c r="AJ53"/>
  <c r="AJ165" i="33"/>
  <c r="AJ32" i="11"/>
  <c r="AJ115" i="10"/>
  <c r="AJ3" i="22"/>
  <c r="AJ180" i="30"/>
  <c r="AJ74" i="22"/>
  <c r="AJ21" i="6"/>
  <c r="AJ110" i="12"/>
  <c r="J34" i="30"/>
  <c r="AJ97" i="32"/>
  <c r="AJ168" i="7"/>
  <c r="AJ15"/>
  <c r="J170" i="31"/>
  <c r="J118" i="17"/>
  <c r="AJ26" i="16"/>
  <c r="J34" i="2"/>
  <c r="AJ82" i="16"/>
  <c r="AJ94" i="7"/>
  <c r="AJ103" i="19"/>
  <c r="AJ130" i="5"/>
  <c r="J26" i="28"/>
  <c r="J125" i="20"/>
  <c r="J21" i="28"/>
  <c r="J113" i="15"/>
  <c r="J176" i="10"/>
  <c r="J178" i="24"/>
  <c r="J145" i="21"/>
  <c r="J125" i="26"/>
  <c r="J38" i="4"/>
  <c r="J108" i="29"/>
  <c r="J183" i="21"/>
  <c r="J171" i="5"/>
  <c r="J146" i="30"/>
  <c r="J53" i="2"/>
  <c r="J85" i="28"/>
  <c r="J181" i="16"/>
  <c r="J9" i="31"/>
  <c r="J123" i="6"/>
  <c r="J142" i="28"/>
  <c r="J86" i="18"/>
  <c r="J101" i="33"/>
  <c r="J185" i="9"/>
  <c r="J58" i="4"/>
  <c r="J98" i="31"/>
  <c r="AJ144" i="28"/>
  <c r="AJ101"/>
  <c r="AJ24" i="24"/>
  <c r="J112" i="2"/>
  <c r="AJ143" i="20"/>
  <c r="AJ5" i="18"/>
  <c r="J15" i="2"/>
  <c r="AJ3" i="12"/>
  <c r="AJ180" i="22"/>
  <c r="AJ29" i="28"/>
  <c r="J75" i="31"/>
  <c r="J54" i="4"/>
  <c r="J76" i="25"/>
  <c r="J69" i="4"/>
  <c r="J9" i="27"/>
  <c r="AJ60" i="29"/>
  <c r="AJ112" i="22"/>
  <c r="AJ157" i="18"/>
  <c r="J33" i="19"/>
  <c r="J122" i="23"/>
  <c r="J145" i="32"/>
  <c r="J53" i="5"/>
  <c r="J136" i="21"/>
  <c r="J139" i="27"/>
  <c r="J46" i="11"/>
  <c r="J42" i="31"/>
  <c r="J102" i="7"/>
  <c r="J130" i="16"/>
  <c r="J87"/>
  <c r="J151" i="27"/>
  <c r="J26" i="22"/>
  <c r="AJ133" i="29"/>
  <c r="J119" i="19"/>
  <c r="J39" i="16"/>
  <c r="J142" i="19"/>
  <c r="AJ93" i="15"/>
  <c r="J126" i="9"/>
  <c r="AJ95" i="21"/>
  <c r="J53" i="9"/>
  <c r="J6" i="25"/>
  <c r="J114" i="16"/>
  <c r="AJ145" i="29"/>
  <c r="AJ77" i="24"/>
  <c r="AJ163" i="29"/>
  <c r="AJ154" i="27"/>
  <c r="J179" i="33"/>
  <c r="J108" i="1"/>
  <c r="J110" i="27"/>
  <c r="AJ167" i="30"/>
  <c r="AJ123" i="27"/>
  <c r="AJ78" i="18"/>
  <c r="AJ86"/>
  <c r="J68" i="1"/>
  <c r="J116" i="30"/>
  <c r="J171" i="10"/>
  <c r="AJ104" i="12"/>
  <c r="AJ182" i="32"/>
  <c r="AJ55" i="9"/>
  <c r="AJ178" i="2"/>
  <c r="J53" i="27"/>
  <c r="J155" i="22"/>
  <c r="AJ76" i="23"/>
  <c r="J163" i="19"/>
  <c r="J169" i="11"/>
  <c r="AJ109" i="5"/>
  <c r="AJ177" i="31"/>
  <c r="AJ42" i="26"/>
  <c r="AJ88" i="28"/>
  <c r="AJ113"/>
  <c r="AJ27" i="33"/>
  <c r="J134" i="7"/>
  <c r="AJ76" i="29"/>
  <c r="AJ121" i="28"/>
  <c r="AJ160" i="4"/>
  <c r="J37" i="32"/>
  <c r="AJ138" i="1"/>
  <c r="AJ141" i="33"/>
  <c r="J37" i="23"/>
  <c r="AJ30" i="33"/>
  <c r="AJ96" i="18"/>
  <c r="AJ71" i="32"/>
  <c r="AJ56" i="5"/>
  <c r="J134" i="32"/>
  <c r="AJ105" i="33"/>
  <c r="AJ29" i="19"/>
  <c r="AJ151" i="32"/>
  <c r="J72" i="22"/>
  <c r="AJ11" i="15"/>
  <c r="AJ141" i="30"/>
  <c r="J10" i="19"/>
  <c r="J147" i="32"/>
  <c r="AJ85" i="9"/>
  <c r="AJ66" i="33"/>
  <c r="AJ117" i="2"/>
  <c r="AJ33" i="28"/>
  <c r="AJ87" i="15"/>
  <c r="AJ33" i="33"/>
  <c r="AJ60" i="5"/>
  <c r="AJ34" i="21"/>
  <c r="J127" i="33"/>
  <c r="J76" i="32"/>
  <c r="AJ32" i="19"/>
  <c r="AJ183" i="22"/>
  <c r="AJ76" i="9"/>
  <c r="AJ110" i="28"/>
  <c r="AJ77" i="4"/>
  <c r="AJ121" i="31"/>
  <c r="AJ84" i="2"/>
  <c r="J5" i="10"/>
  <c r="AJ175" i="21"/>
  <c r="AJ9" i="29"/>
  <c r="J150" i="17"/>
  <c r="AJ157" i="1"/>
  <c r="J80" i="29"/>
  <c r="AJ162" i="3"/>
  <c r="AJ46" i="11"/>
  <c r="AJ172" i="10"/>
  <c r="AJ38" i="23"/>
  <c r="AJ64" i="21"/>
  <c r="AJ102" i="1"/>
  <c r="J99"/>
  <c r="AJ91" i="3"/>
  <c r="AJ86" i="11"/>
  <c r="AJ36" i="33"/>
  <c r="AJ177" i="23"/>
  <c r="AJ10" i="26"/>
  <c r="AJ16" i="31"/>
  <c r="AJ127" i="5"/>
  <c r="AJ139" i="12"/>
  <c r="AJ119" i="9"/>
  <c r="AJ182" i="27"/>
  <c r="J182" i="7"/>
  <c r="J5" i="9"/>
  <c r="AJ151" i="24"/>
  <c r="J159" i="27"/>
  <c r="J82" i="17"/>
  <c r="AJ145" i="10"/>
  <c r="J146" i="31"/>
  <c r="J167" i="33"/>
  <c r="AJ77" i="10"/>
  <c r="J92" i="6"/>
  <c r="AJ42" i="21"/>
  <c r="J127" i="22"/>
  <c r="J111" i="9"/>
  <c r="AJ155" i="27"/>
  <c r="AJ111" i="18"/>
  <c r="AJ15" i="33"/>
  <c r="AJ180" i="15"/>
  <c r="AJ160" i="20"/>
  <c r="AJ61" i="3"/>
  <c r="J144" i="11"/>
  <c r="AJ166" i="9"/>
  <c r="J45" i="30"/>
  <c r="AJ24" i="7"/>
  <c r="AJ23" i="11"/>
  <c r="AJ115" i="28"/>
  <c r="AJ25" i="7"/>
  <c r="J80" i="11"/>
  <c r="AJ157" i="32"/>
  <c r="AJ143" i="3"/>
  <c r="J100" i="11"/>
  <c r="J170" i="15"/>
  <c r="J43" i="30"/>
  <c r="J85" i="9"/>
  <c r="J44" i="33"/>
  <c r="AJ55" i="26"/>
  <c r="AJ95" i="22"/>
  <c r="J176" i="5"/>
  <c r="AJ100" i="18"/>
  <c r="AJ10" i="29"/>
  <c r="AJ178" i="3"/>
  <c r="AJ109" i="22"/>
  <c r="AJ89" i="26"/>
  <c r="J24" i="17"/>
  <c r="AJ178" i="10"/>
  <c r="AJ51" i="7"/>
  <c r="AJ77" i="23"/>
  <c r="J130" i="22"/>
  <c r="AJ70" i="33"/>
  <c r="AJ67" i="27"/>
  <c r="AJ78" i="5"/>
  <c r="AJ134" i="15"/>
  <c r="AJ88" i="23"/>
  <c r="AJ165"/>
  <c r="J35" i="22"/>
  <c r="AJ45" i="23"/>
  <c r="AJ80" i="9"/>
  <c r="AJ143" i="5"/>
  <c r="AJ133" i="9"/>
  <c r="J57" i="1"/>
  <c r="AJ112" i="32"/>
  <c r="AJ65" i="9"/>
  <c r="AJ147"/>
  <c r="AJ128" i="21"/>
  <c r="J118" i="33"/>
  <c r="AJ141" i="18"/>
  <c r="J174" i="16"/>
  <c r="J72" i="31"/>
  <c r="AJ87" i="2"/>
  <c r="AJ165" i="28"/>
  <c r="AJ112" i="27"/>
  <c r="AJ36" i="1"/>
  <c r="AJ185" i="6"/>
  <c r="AJ29" i="9"/>
  <c r="AJ164" i="32"/>
  <c r="AJ97" i="9"/>
  <c r="AJ131" i="7"/>
  <c r="AJ12" i="10"/>
  <c r="AJ142" i="32"/>
  <c r="AJ137" i="21"/>
  <c r="J134" i="23"/>
  <c r="AJ4" i="3"/>
  <c r="AJ117" i="22"/>
  <c r="AJ111" i="3"/>
  <c r="AJ4" i="15"/>
  <c r="AJ142" i="29"/>
  <c r="AJ118" i="31"/>
  <c r="AJ183"/>
  <c r="AJ59" i="11"/>
  <c r="AJ122" i="19"/>
  <c r="AJ6" i="27"/>
  <c r="AJ111" i="6"/>
  <c r="AJ176" i="33"/>
  <c r="J95" i="3"/>
  <c r="AJ79" i="1"/>
  <c r="AJ18" i="5"/>
  <c r="AJ39" i="21"/>
  <c r="AJ83" i="20"/>
  <c r="AJ113" i="27"/>
  <c r="J42" i="17"/>
  <c r="AJ34" i="28"/>
  <c r="AJ55" i="4"/>
  <c r="J56" i="6"/>
  <c r="J64" i="1"/>
  <c r="J86" i="6"/>
  <c r="AJ98" i="27"/>
  <c r="AJ114" i="23"/>
  <c r="AJ111" i="22"/>
  <c r="AJ105" i="6"/>
  <c r="J89" i="17"/>
  <c r="J177" i="32"/>
  <c r="AJ157" i="4"/>
  <c r="AJ70" i="19"/>
  <c r="AJ69" i="16"/>
  <c r="AJ40" i="15"/>
  <c r="J76"/>
  <c r="AJ34" i="23"/>
  <c r="AJ174" i="4"/>
  <c r="AJ5"/>
  <c r="AJ143" i="11"/>
  <c r="AJ76" i="15"/>
  <c r="AJ4" i="10"/>
  <c r="AJ32" i="33"/>
  <c r="AJ103" i="23"/>
  <c r="AJ143" i="19"/>
  <c r="AJ146" i="2"/>
  <c r="AJ88" i="32"/>
  <c r="AJ48" i="16"/>
  <c r="AJ166" i="27"/>
  <c r="AJ149" i="9"/>
  <c r="J179" i="29"/>
  <c r="AJ92" i="27"/>
  <c r="J68" i="15"/>
  <c r="J61" i="6"/>
  <c r="J45" i="33"/>
  <c r="AJ170" i="11"/>
  <c r="AJ185" i="20"/>
  <c r="J100" i="25"/>
  <c r="AJ96" i="7"/>
  <c r="AJ102" i="23"/>
  <c r="AJ58"/>
  <c r="AJ80" i="3"/>
  <c r="AJ56" i="19"/>
  <c r="AJ39" i="3"/>
  <c r="J86" i="33"/>
  <c r="AJ133" i="1"/>
  <c r="AJ61" i="15"/>
  <c r="AJ40" i="19"/>
  <c r="AJ47" i="11"/>
  <c r="AJ73" i="7"/>
  <c r="AJ84" i="11"/>
  <c r="J140" i="3"/>
  <c r="AJ94" i="16"/>
  <c r="AJ41" i="32"/>
  <c r="J29" i="23"/>
  <c r="AJ79" i="2"/>
  <c r="J33" i="27"/>
  <c r="AJ80" i="15"/>
  <c r="J69" i="19"/>
  <c r="AJ49" i="3"/>
  <c r="AJ81" i="6"/>
  <c r="AJ53" i="33"/>
  <c r="AJ86" i="4"/>
  <c r="AJ160" i="19"/>
  <c r="J18" i="6"/>
  <c r="AJ134" i="21"/>
  <c r="AJ161" i="26"/>
  <c r="AJ5" i="30"/>
  <c r="J46" i="32"/>
  <c r="AJ106" i="33"/>
  <c r="J42" i="7"/>
  <c r="AJ172" i="23"/>
  <c r="AJ172" i="22"/>
  <c r="AJ92" i="29"/>
  <c r="AJ110" i="6"/>
  <c r="AJ166" i="23"/>
  <c r="AJ15" i="30"/>
  <c r="AJ78" i="11"/>
  <c r="AJ127" i="30"/>
  <c r="AJ48" i="22"/>
  <c r="AJ24" i="10"/>
  <c r="AJ132" i="15"/>
  <c r="AJ123" i="28"/>
  <c r="AJ91" i="16"/>
  <c r="AJ176" i="5"/>
  <c r="AJ35" i="22"/>
  <c r="AJ140" i="2"/>
  <c r="AJ36" i="21"/>
  <c r="AJ108" i="2"/>
  <c r="AJ66" i="6"/>
  <c r="AJ20" i="30"/>
  <c r="AJ17" i="32"/>
  <c r="J185" i="16"/>
  <c r="AJ112" i="1"/>
  <c r="AJ59" i="10"/>
  <c r="AJ184" i="29"/>
  <c r="J148" i="6"/>
  <c r="J174" i="19"/>
  <c r="AJ178" i="20"/>
  <c r="AJ178" i="32"/>
  <c r="J91" i="23"/>
  <c r="AJ65" i="22"/>
  <c r="J50" i="33"/>
  <c r="AJ92" i="26"/>
  <c r="AJ73" i="23"/>
  <c r="AJ80" i="18"/>
  <c r="AJ123" i="5"/>
  <c r="AJ183" i="3"/>
  <c r="AJ142" i="17"/>
  <c r="AJ19" i="6"/>
  <c r="AJ4" i="22"/>
  <c r="AJ120" i="23"/>
  <c r="AJ179" i="2"/>
  <c r="AJ138" i="19"/>
  <c r="AJ97" i="31"/>
  <c r="AJ126" i="27"/>
  <c r="AJ14" i="21"/>
  <c r="AJ127" i="7"/>
  <c r="AJ133" i="31"/>
  <c r="AJ33" i="15"/>
  <c r="AJ139" i="24"/>
  <c r="AJ108" i="23"/>
  <c r="AJ26" i="17"/>
  <c r="AJ21" i="22"/>
  <c r="AJ153" i="27"/>
  <c r="AJ89" i="22"/>
  <c r="AJ131" i="2"/>
  <c r="AJ124" i="30"/>
  <c r="AJ121" i="7"/>
  <c r="AJ156" i="3"/>
  <c r="J95" i="30"/>
  <c r="J151" i="33"/>
  <c r="J13" i="31"/>
  <c r="AJ107" i="2"/>
  <c r="AJ165" i="32"/>
  <c r="AJ144" i="7"/>
  <c r="AJ152" i="19"/>
  <c r="J93" i="17"/>
  <c r="J171" i="11"/>
  <c r="AJ30"/>
  <c r="J134" i="1"/>
  <c r="AJ16" i="15"/>
  <c r="AJ80" i="30"/>
  <c r="J16" i="33"/>
  <c r="AJ161" i="31"/>
  <c r="AJ166" i="32"/>
  <c r="AJ3" i="4"/>
  <c r="AJ43" i="31"/>
  <c r="AJ83" i="24"/>
  <c r="AJ154" i="21"/>
  <c r="AJ14" i="22"/>
  <c r="AJ171" i="3"/>
  <c r="AJ129" i="18"/>
  <c r="AJ16" i="27"/>
  <c r="AJ27" i="32"/>
  <c r="AJ174" i="28"/>
  <c r="AJ49" i="19"/>
  <c r="AJ143" i="16"/>
  <c r="AJ125" i="32"/>
  <c r="AJ14" i="1"/>
  <c r="AJ109" i="18"/>
  <c r="AJ45" i="15"/>
  <c r="AJ126" i="16"/>
  <c r="AJ9" i="30"/>
  <c r="J31" i="20"/>
  <c r="AJ78" i="1"/>
  <c r="AJ93" i="30"/>
  <c r="AJ184" i="33"/>
  <c r="J184" i="1"/>
  <c r="AJ33" i="18"/>
  <c r="AJ144" i="22"/>
  <c r="AJ141" i="27"/>
  <c r="AJ104" i="10"/>
  <c r="AJ3" i="29"/>
  <c r="AJ15" i="27"/>
  <c r="J82" i="32"/>
  <c r="J97" i="24"/>
  <c r="AJ41" i="15"/>
  <c r="AJ130" i="27"/>
  <c r="AJ76" i="19"/>
  <c r="J11" i="1"/>
  <c r="AJ107" i="6"/>
  <c r="AJ127" i="33"/>
  <c r="AJ34" i="2"/>
  <c r="AJ68" i="17"/>
  <c r="J169"/>
  <c r="AJ30" i="15"/>
  <c r="AJ91" i="29"/>
  <c r="AJ41" i="10"/>
  <c r="AJ98" i="19"/>
  <c r="AJ154" i="11"/>
  <c r="AJ45" i="19"/>
  <c r="AJ19" i="16"/>
  <c r="AJ134" i="27"/>
  <c r="AJ115" i="24"/>
  <c r="AJ160" i="12"/>
  <c r="AJ178" i="15"/>
  <c r="J152" i="27"/>
  <c r="AJ43" i="5"/>
  <c r="AJ175" i="11"/>
  <c r="AJ78" i="27"/>
  <c r="J150"/>
  <c r="AJ71" i="30"/>
  <c r="AJ164" i="29"/>
  <c r="AJ38" i="7"/>
  <c r="AJ182" i="16"/>
  <c r="AJ97" i="33"/>
  <c r="AJ111" i="11"/>
  <c r="AJ28" i="16"/>
  <c r="AJ84" i="32"/>
  <c r="AJ35" i="3"/>
  <c r="AJ136" i="29"/>
  <c r="AJ30" i="9"/>
  <c r="AJ104" i="5"/>
  <c r="AJ128" i="2"/>
  <c r="AJ66" i="22"/>
  <c r="AJ137"/>
  <c r="AJ161" i="16"/>
  <c r="AJ104" i="30"/>
  <c r="AJ85"/>
  <c r="AJ127" i="22"/>
  <c r="J60" i="3"/>
  <c r="AJ159" i="30"/>
  <c r="J170" i="27"/>
  <c r="AJ95" i="31"/>
  <c r="AJ22" i="5"/>
  <c r="AJ168" i="19"/>
  <c r="AJ181" i="24"/>
  <c r="AJ78" i="30"/>
  <c r="AJ166" i="31"/>
  <c r="AJ89" i="3"/>
  <c r="AJ56" i="17"/>
  <c r="J21" i="10"/>
  <c r="AJ101" i="23"/>
  <c r="AJ101" i="19"/>
  <c r="J80" i="9"/>
  <c r="AJ154" i="3"/>
  <c r="AJ73" i="2"/>
  <c r="AJ146" i="27"/>
  <c r="AJ66" i="9"/>
  <c r="AJ31"/>
  <c r="AJ101" i="4"/>
  <c r="AJ4" i="18"/>
  <c r="AJ46" i="32"/>
  <c r="AJ164" i="28"/>
  <c r="AJ23" i="27"/>
  <c r="AJ115" i="7"/>
  <c r="AJ36" i="5"/>
  <c r="AJ26" i="11"/>
  <c r="AJ119" i="7"/>
  <c r="AJ6" i="12"/>
  <c r="AJ130" i="1"/>
  <c r="J151" i="30"/>
  <c r="AJ151" i="10"/>
  <c r="AJ17" i="16"/>
  <c r="AJ176" i="15"/>
  <c r="AJ54" i="11"/>
  <c r="AJ24" i="1"/>
  <c r="J95" i="4"/>
  <c r="J125"/>
  <c r="J65" i="2"/>
  <c r="J127"/>
  <c r="J148" i="24"/>
  <c r="J60" i="25"/>
  <c r="J137" i="4"/>
  <c r="J46" i="6"/>
  <c r="J25" i="2"/>
  <c r="J154" i="4"/>
  <c r="J93" i="9"/>
  <c r="J40" i="20"/>
  <c r="J98" i="28"/>
  <c r="J89" i="20"/>
  <c r="J155" i="21"/>
  <c r="AJ26" i="2"/>
  <c r="J30" i="33"/>
  <c r="J3"/>
  <c r="J102" i="25"/>
  <c r="J149"/>
  <c r="J137" i="22"/>
  <c r="J161" i="18"/>
  <c r="J25" i="26"/>
  <c r="J28" i="7"/>
  <c r="AJ62" i="26"/>
  <c r="AJ75" i="12"/>
  <c r="J157" i="18"/>
  <c r="J29" i="7"/>
  <c r="J154"/>
  <c r="J142" i="23"/>
  <c r="AJ106" i="20"/>
  <c r="AJ163" i="12"/>
  <c r="AJ71" i="18"/>
  <c r="AJ121" i="4"/>
  <c r="J136" i="2"/>
  <c r="J130" i="32"/>
  <c r="J50" i="4"/>
  <c r="J110" i="3"/>
  <c r="AJ40" i="24"/>
  <c r="AJ180" i="31"/>
  <c r="AJ50" i="12"/>
  <c r="AJ108" i="21"/>
  <c r="J6" i="15"/>
  <c r="J178" i="26"/>
  <c r="J170" i="1"/>
  <c r="J102" i="32"/>
  <c r="AJ131" i="28"/>
  <c r="AJ170" i="23"/>
  <c r="J173" i="29"/>
  <c r="J172" i="28"/>
  <c r="J157"/>
  <c r="J147" i="19"/>
  <c r="J86" i="2"/>
  <c r="J95" i="12"/>
  <c r="J77" i="4"/>
  <c r="J72" i="17"/>
  <c r="J108" i="9"/>
  <c r="J50" i="32"/>
  <c r="J183" i="6"/>
  <c r="AJ100" i="15"/>
  <c r="AJ165" i="30"/>
  <c r="AJ75"/>
  <c r="J183" i="4"/>
  <c r="J145" i="10"/>
  <c r="AJ134" i="20"/>
  <c r="J25" i="5"/>
  <c r="J74" i="27"/>
  <c r="AJ68" i="31"/>
  <c r="AJ114" i="29"/>
  <c r="AJ68"/>
  <c r="J107" i="5"/>
  <c r="J113" i="32"/>
  <c r="J183" i="27"/>
  <c r="AJ159" i="20"/>
  <c r="AJ90"/>
  <c r="AJ158" i="32"/>
  <c r="AJ22" i="4"/>
  <c r="J120" i="5"/>
  <c r="J126" i="1"/>
  <c r="J136" i="6"/>
  <c r="J73" i="1"/>
  <c r="AJ185" i="4"/>
  <c r="AJ13" i="18"/>
  <c r="AJ92" i="5"/>
  <c r="AJ12" i="12"/>
  <c r="AJ148"/>
  <c r="J157" i="29"/>
  <c r="AJ29" i="24"/>
  <c r="AJ65" i="28"/>
  <c r="AJ132" i="21"/>
  <c r="AJ49" i="4"/>
  <c r="AJ145" i="22"/>
  <c r="J110" i="1"/>
  <c r="AJ150" i="29"/>
  <c r="J77" i="30"/>
  <c r="AJ97" i="18"/>
  <c r="AJ65" i="3"/>
  <c r="J25" i="27"/>
  <c r="AJ101" i="18"/>
  <c r="J160" i="16"/>
  <c r="AJ30" i="32"/>
  <c r="J181" i="6"/>
  <c r="AJ63" i="21"/>
  <c r="AJ15" i="29"/>
  <c r="AJ141" i="10"/>
  <c r="AJ168"/>
  <c r="J148" i="3"/>
  <c r="J123" i="33"/>
  <c r="J10" i="7"/>
  <c r="J139" i="17"/>
  <c r="AJ175" i="3"/>
  <c r="J166" i="11"/>
  <c r="AJ146" i="15"/>
  <c r="AJ129" i="24"/>
  <c r="AJ139" i="32"/>
  <c r="J38" i="7"/>
  <c r="J37"/>
  <c r="AJ87" i="32"/>
  <c r="AJ106" i="22"/>
  <c r="AJ99"/>
  <c r="AJ44" i="27"/>
  <c r="AJ52" i="23"/>
  <c r="AJ139" i="19"/>
  <c r="J148" i="9"/>
  <c r="AJ108" i="18"/>
  <c r="AJ92" i="10"/>
  <c r="J170" i="5"/>
  <c r="AJ64" i="12"/>
  <c r="AJ79" i="23"/>
  <c r="AJ117" i="24"/>
  <c r="AJ15" i="3"/>
  <c r="J30" i="16"/>
  <c r="AJ173" i="9"/>
  <c r="J38" i="6"/>
  <c r="J170"/>
  <c r="J57" i="27"/>
  <c r="AJ95" i="17"/>
  <c r="AJ167" i="2"/>
  <c r="AJ130" i="19"/>
  <c r="AJ144" i="32"/>
  <c r="AJ171" i="11"/>
  <c r="AJ3" i="3"/>
  <c r="AJ32" i="5"/>
  <c r="AJ51" i="10"/>
  <c r="AJ138" i="6"/>
  <c r="AJ159" i="15"/>
  <c r="AJ60" i="30"/>
  <c r="AJ80" i="11"/>
  <c r="AJ71" i="7"/>
  <c r="AJ11" i="5"/>
  <c r="AJ94" i="29"/>
  <c r="AJ126" i="1"/>
  <c r="AJ57" i="27"/>
  <c r="AJ60" i="4"/>
  <c r="AJ88" i="33"/>
  <c r="J101" i="16"/>
  <c r="J134" i="10"/>
  <c r="J144" i="32"/>
  <c r="AJ50" i="2"/>
  <c r="J89" i="30"/>
  <c r="J24" i="33"/>
  <c r="J115" i="5"/>
  <c r="J117" i="27"/>
  <c r="AJ13" i="7"/>
  <c r="AJ98" i="30"/>
  <c r="AJ61" i="18"/>
  <c r="J148" i="2"/>
  <c r="J88" i="3"/>
  <c r="AJ166" i="22"/>
  <c r="AJ61" i="12"/>
  <c r="AJ70" i="27"/>
  <c r="AJ4" i="32"/>
  <c r="AJ47" i="15"/>
  <c r="J39" i="33"/>
  <c r="AJ71" i="5"/>
  <c r="AJ56" i="18"/>
  <c r="AJ44" i="32"/>
  <c r="AJ68" i="19"/>
  <c r="AJ147" i="32"/>
  <c r="AJ38" i="11"/>
  <c r="J21" i="6"/>
  <c r="AJ160" i="17"/>
  <c r="AJ59" i="2"/>
  <c r="AJ32" i="1"/>
  <c r="AJ137" i="9"/>
  <c r="J114" i="10"/>
  <c r="J157" i="3"/>
  <c r="AJ64"/>
  <c r="J178" i="33"/>
  <c r="AJ37" i="12"/>
  <c r="AJ72" i="33"/>
  <c r="AJ143" i="26"/>
  <c r="AJ67" i="28"/>
  <c r="J8" i="33"/>
  <c r="AJ122" i="29"/>
  <c r="AJ154" i="4"/>
  <c r="AJ93" i="18"/>
  <c r="J63" i="9"/>
  <c r="J43" i="10"/>
  <c r="AJ92" i="17"/>
  <c r="J97" i="31"/>
  <c r="AJ184" i="22"/>
  <c r="AJ9" i="27"/>
  <c r="AJ35" i="29"/>
  <c r="AJ168" i="2"/>
  <c r="AJ54" i="5"/>
  <c r="AJ87" i="30"/>
  <c r="J171" i="16"/>
  <c r="AJ170" i="17"/>
  <c r="AJ93" i="27"/>
  <c r="AJ124" i="18"/>
  <c r="AJ77" i="21"/>
  <c r="AJ3" i="23"/>
  <c r="AJ57" i="18"/>
  <c r="AJ147" i="4"/>
  <c r="AJ52" i="22"/>
  <c r="AJ96"/>
  <c r="AJ145" i="21"/>
  <c r="AJ160" i="28"/>
  <c r="AJ85" i="29"/>
  <c r="J174" i="11"/>
  <c r="J50" i="5"/>
  <c r="AJ29" i="32"/>
  <c r="AJ68" i="15"/>
  <c r="AJ133" i="28"/>
  <c r="AJ165" i="3"/>
  <c r="J37" i="19"/>
  <c r="AJ96" i="10"/>
  <c r="AJ33" i="26"/>
  <c r="AJ53" i="10"/>
  <c r="AJ182" i="11"/>
  <c r="AJ62" i="19"/>
  <c r="AJ90" i="11"/>
  <c r="AJ65" i="31"/>
  <c r="AJ83" i="10"/>
  <c r="AJ177" i="26"/>
  <c r="AJ119" i="11"/>
  <c r="AJ96" i="1"/>
  <c r="AJ118" i="21"/>
  <c r="AJ114" i="20"/>
  <c r="AJ37" i="6"/>
  <c r="J15" i="33"/>
  <c r="AJ81" i="20"/>
  <c r="AJ119" i="15"/>
  <c r="AJ118" i="1"/>
  <c r="AJ90" i="17"/>
  <c r="AJ110" i="16"/>
  <c r="AJ90" i="1"/>
  <c r="AJ177" i="12"/>
  <c r="AJ19" i="7"/>
  <c r="AJ144" i="30"/>
  <c r="AJ110" i="10"/>
  <c r="AJ36" i="4"/>
  <c r="AJ65" i="12"/>
  <c r="J91" i="17"/>
  <c r="AJ184" i="12"/>
  <c r="AJ27" i="20"/>
  <c r="J30" i="5"/>
  <c r="AJ181" i="26"/>
  <c r="AJ24"/>
  <c r="AJ121" i="17"/>
  <c r="AJ101" i="27"/>
  <c r="AJ148" i="30"/>
  <c r="AJ116" i="9"/>
  <c r="AJ130" i="17"/>
  <c r="AJ120" i="31"/>
  <c r="AJ4" i="20"/>
  <c r="AJ110" i="15"/>
  <c r="AJ52" i="5"/>
  <c r="J97"/>
  <c r="J98" i="25"/>
  <c r="J134" i="22"/>
  <c r="AJ44" i="23"/>
  <c r="AJ90" i="15"/>
  <c r="AJ42" i="31"/>
  <c r="AJ16" i="9"/>
  <c r="AJ136" i="5"/>
  <c r="AJ167" i="22"/>
  <c r="AJ156" i="15"/>
  <c r="AJ90" i="7"/>
  <c r="AJ91" i="9"/>
  <c r="AJ60" i="17"/>
  <c r="AJ61" i="4"/>
  <c r="AJ184" i="20"/>
  <c r="AJ71" i="33"/>
  <c r="AJ46" i="7"/>
  <c r="AJ15" i="21"/>
  <c r="J149" i="7"/>
  <c r="AJ179" i="18"/>
  <c r="AJ142"/>
  <c r="J173" i="30"/>
  <c r="AJ15" i="17"/>
  <c r="J71" i="32"/>
  <c r="AJ10" i="22"/>
  <c r="AJ161" i="17"/>
  <c r="AJ137" i="32"/>
  <c r="AJ46" i="31"/>
  <c r="AJ90" i="22"/>
  <c r="AJ32" i="6"/>
  <c r="J170" i="22"/>
  <c r="AJ78" i="9"/>
  <c r="AJ172" i="5"/>
  <c r="AJ181" i="3"/>
  <c r="AJ75" i="11"/>
  <c r="AJ113" i="3"/>
  <c r="AJ89" i="29"/>
  <c r="AJ38" i="31"/>
  <c r="AJ175" i="32"/>
  <c r="AJ150" i="17"/>
  <c r="AJ9" i="7"/>
  <c r="AJ131" i="33"/>
  <c r="AJ21" i="9"/>
  <c r="AJ130" i="33"/>
  <c r="AJ172" i="31"/>
  <c r="AJ40" i="33"/>
  <c r="J179" i="19"/>
  <c r="AJ49" i="6"/>
  <c r="AJ95" i="7"/>
  <c r="J8" i="11"/>
  <c r="J151" i="23"/>
  <c r="AJ13" i="28"/>
  <c r="AJ14" i="24"/>
  <c r="J181" i="4"/>
  <c r="AJ98" i="11"/>
  <c r="AJ41" i="6"/>
  <c r="AJ136" i="26"/>
  <c r="AJ40" i="12"/>
  <c r="AJ46" i="19"/>
  <c r="AJ67" i="2"/>
  <c r="AJ14" i="19"/>
  <c r="J13" i="1"/>
  <c r="J133" i="31"/>
  <c r="AJ123" i="9"/>
  <c r="AJ105" i="32"/>
  <c r="AJ38"/>
  <c r="AJ90" i="23"/>
  <c r="AJ169" i="1"/>
  <c r="AJ12" i="9"/>
  <c r="AJ109" i="32"/>
  <c r="AJ46" i="16"/>
  <c r="AJ174" i="11"/>
  <c r="AJ97" i="19"/>
  <c r="AJ60" i="7"/>
  <c r="AJ27" i="9"/>
  <c r="AJ41" i="12"/>
  <c r="AJ25" i="10"/>
  <c r="AJ178" i="11"/>
  <c r="AJ7" i="32"/>
  <c r="AJ7" i="3"/>
  <c r="AJ57" i="31"/>
  <c r="J21" i="9"/>
  <c r="J19" i="23"/>
  <c r="AJ109" i="4"/>
  <c r="J157" i="19"/>
  <c r="J133" i="20"/>
  <c r="AJ101" i="1"/>
  <c r="AJ174" i="22"/>
  <c r="AJ145" i="20"/>
  <c r="AJ118" i="6"/>
  <c r="AJ179" i="30"/>
  <c r="J174" i="7"/>
  <c r="AJ141" i="1"/>
  <c r="AJ166" i="11"/>
  <c r="J125" i="3"/>
  <c r="AJ174" i="6"/>
  <c r="AJ119" i="23"/>
  <c r="AJ146" i="32"/>
  <c r="AJ50" i="33"/>
  <c r="AJ144" i="31"/>
  <c r="AJ161" i="32"/>
  <c r="AJ123" i="23"/>
  <c r="AJ148" i="9"/>
  <c r="AJ20" i="19"/>
  <c r="AJ111" i="7"/>
  <c r="AJ126" i="20"/>
  <c r="AJ170" i="9"/>
  <c r="AJ32" i="15"/>
  <c r="J133" i="32"/>
  <c r="AJ128" i="15"/>
  <c r="AJ121" i="3"/>
  <c r="AJ11" i="21"/>
  <c r="AJ76" i="5"/>
  <c r="AJ174" i="19"/>
  <c r="J97" i="12"/>
  <c r="AJ136" i="20"/>
  <c r="AJ113" i="23"/>
  <c r="AJ120" i="2"/>
  <c r="J15" i="17"/>
  <c r="AJ150" i="19"/>
  <c r="AJ166" i="4"/>
  <c r="AJ58" i="11"/>
  <c r="J155" i="9"/>
  <c r="AJ42" i="30"/>
  <c r="AJ72" i="22"/>
  <c r="AJ66" i="18"/>
  <c r="AJ165" i="7"/>
  <c r="AJ109" i="33"/>
  <c r="AJ71" i="11"/>
  <c r="AJ76" i="10"/>
  <c r="AJ138" i="28"/>
  <c r="AJ86" i="6"/>
  <c r="AJ118" i="4"/>
  <c r="AJ31" i="12"/>
  <c r="AJ29" i="15"/>
  <c r="AJ83"/>
  <c r="AJ75" i="5"/>
  <c r="AJ165" i="10"/>
  <c r="AJ108" i="6"/>
  <c r="AJ111" i="19"/>
  <c r="AJ133" i="18"/>
  <c r="AJ157" i="21"/>
  <c r="AJ12" i="19"/>
  <c r="AJ116" i="16"/>
  <c r="AJ14" i="18"/>
  <c r="AJ48" i="3"/>
  <c r="AJ129" i="9"/>
  <c r="AJ185" i="12"/>
  <c r="J5" i="3"/>
  <c r="AJ63" i="7"/>
  <c r="AJ122"/>
  <c r="AJ113" i="33"/>
  <c r="J8" i="17"/>
  <c r="AJ158" i="30"/>
  <c r="AJ96" i="15"/>
  <c r="AJ136" i="31"/>
  <c r="AJ81" i="7"/>
  <c r="J92" i="27"/>
  <c r="AJ21" i="26"/>
  <c r="AJ91" i="30"/>
  <c r="AJ74" i="6"/>
  <c r="J112" i="23"/>
  <c r="AJ182" i="6"/>
  <c r="AJ64" i="27"/>
  <c r="AJ86" i="9"/>
  <c r="AJ144" i="29"/>
  <c r="AJ61" i="22"/>
  <c r="AJ94" i="11"/>
  <c r="AJ183" i="5"/>
  <c r="AJ120" i="22"/>
  <c r="AJ165" i="16"/>
  <c r="AJ56" i="15"/>
  <c r="AJ158" i="2"/>
  <c r="J29" i="3"/>
  <c r="J15" i="9"/>
  <c r="AJ74" i="11"/>
  <c r="AJ20" i="31"/>
  <c r="AJ106" i="28"/>
  <c r="AJ54" i="19"/>
  <c r="AJ158" i="22"/>
  <c r="AJ5" i="31"/>
  <c r="J116" i="16"/>
  <c r="AJ52" i="15"/>
  <c r="AJ27" i="28"/>
  <c r="AJ36" i="11"/>
  <c r="AJ26" i="23"/>
  <c r="AJ64" i="9"/>
  <c r="AJ148" i="31"/>
  <c r="AJ9" i="9"/>
  <c r="AJ10" i="18"/>
  <c r="AJ81" i="27"/>
  <c r="AJ162" i="11"/>
  <c r="AJ79" i="6"/>
  <c r="J152" i="17"/>
  <c r="AJ44" i="28"/>
  <c r="AJ100" i="11"/>
  <c r="J97" i="22"/>
  <c r="AJ114" i="19"/>
  <c r="AJ127" i="16"/>
  <c r="AJ154" i="19"/>
  <c r="J155" i="30"/>
  <c r="AJ54" i="20"/>
  <c r="AJ23" i="28"/>
  <c r="AJ54" i="27"/>
  <c r="J38" i="5"/>
  <c r="AJ172" i="1"/>
  <c r="AJ63" i="16"/>
  <c r="AJ7" i="33"/>
  <c r="J35" i="19"/>
  <c r="AJ177" i="11"/>
  <c r="AJ131" i="6"/>
  <c r="AJ63" i="33"/>
  <c r="AJ69" i="15"/>
  <c r="AJ147" i="19"/>
  <c r="AJ40" i="4"/>
  <c r="J155" i="18"/>
  <c r="AJ100" i="17"/>
  <c r="AJ135" i="20"/>
  <c r="AJ36" i="16"/>
  <c r="AJ119" i="32"/>
  <c r="AJ108" i="1"/>
  <c r="AJ5" i="16"/>
  <c r="AJ20" i="6"/>
  <c r="AJ17" i="7"/>
  <c r="AJ29" i="23"/>
  <c r="J123" i="16"/>
  <c r="AJ154" i="18"/>
  <c r="AJ155" i="15"/>
  <c r="AJ85" i="11"/>
  <c r="AJ121" i="18"/>
  <c r="AJ140" i="31"/>
  <c r="AJ172" i="9"/>
  <c r="AJ7" i="31"/>
  <c r="AJ151" i="20"/>
  <c r="AJ74" i="9"/>
  <c r="AJ94" i="6"/>
  <c r="AJ155" i="29"/>
  <c r="AJ62" i="27"/>
  <c r="AJ23" i="30"/>
  <c r="AJ154" i="5"/>
  <c r="J20" i="16"/>
  <c r="AJ185" i="17"/>
  <c r="AJ36"/>
  <c r="J42" i="24"/>
  <c r="J88" i="6"/>
  <c r="J117" i="15"/>
  <c r="J143" i="28"/>
  <c r="J185" i="33"/>
  <c r="J127" i="26"/>
  <c r="J56" i="24"/>
  <c r="J53" i="31"/>
  <c r="J86" i="12"/>
  <c r="J16" i="6"/>
  <c r="J100" i="7"/>
  <c r="J116" i="33"/>
  <c r="J145" i="20"/>
  <c r="J152" i="4"/>
  <c r="J89" i="32"/>
  <c r="J177" i="6"/>
  <c r="J63" i="12"/>
  <c r="J25" i="28"/>
  <c r="J64" i="15"/>
  <c r="J8" i="6"/>
  <c r="J81" i="33"/>
  <c r="AJ77" i="12"/>
  <c r="J92" i="4"/>
  <c r="J96" i="31"/>
  <c r="J149" i="15"/>
  <c r="J82" i="5"/>
  <c r="AJ49" i="12"/>
  <c r="J130" i="7"/>
  <c r="AJ148" i="28"/>
  <c r="AJ25" i="26"/>
  <c r="J50" i="6"/>
  <c r="AJ108" i="26"/>
  <c r="AJ13" i="22"/>
  <c r="AJ43" i="28"/>
  <c r="J109" i="18"/>
  <c r="J66" i="11"/>
  <c r="J58" i="30"/>
  <c r="J25" i="16"/>
  <c r="J125" i="6"/>
  <c r="AJ116" i="20"/>
  <c r="AJ60" i="22"/>
  <c r="AJ117" i="18"/>
  <c r="J183" i="23"/>
  <c r="J155" i="24"/>
  <c r="J80" i="25"/>
  <c r="J43" i="11"/>
  <c r="AJ134" i="2"/>
  <c r="J49" i="33"/>
  <c r="J25" i="17"/>
  <c r="J68" i="28"/>
  <c r="J151" i="10"/>
  <c r="J75" i="23"/>
  <c r="J33" i="33"/>
  <c r="J78" i="22"/>
  <c r="J153" i="21"/>
  <c r="AJ17" i="24"/>
  <c r="J57" i="19"/>
  <c r="J158" i="33"/>
  <c r="J162" i="25"/>
  <c r="AJ14" i="23"/>
  <c r="AJ93" i="21"/>
  <c r="AJ175" i="17"/>
  <c r="AJ169" i="21"/>
  <c r="AJ118" i="26"/>
  <c r="AJ162" i="21"/>
  <c r="AJ45" i="22"/>
  <c r="J91" i="32"/>
  <c r="J30" i="6"/>
  <c r="J114" i="33"/>
  <c r="J182" i="1"/>
  <c r="J34" i="25"/>
  <c r="AJ152" i="6"/>
  <c r="AJ34" i="12"/>
  <c r="AJ83" i="17"/>
  <c r="J165" i="16"/>
  <c r="AJ73" i="31"/>
  <c r="J184" i="25"/>
  <c r="AJ89" i="30"/>
  <c r="J77" i="32"/>
  <c r="AJ36"/>
  <c r="J59" i="5"/>
  <c r="AJ41" i="17"/>
  <c r="J57" i="5"/>
  <c r="AJ11" i="6"/>
  <c r="AJ73" i="20"/>
  <c r="AJ79" i="32"/>
  <c r="AJ77" i="2"/>
  <c r="AJ33" i="5"/>
  <c r="J137" i="17"/>
  <c r="AJ185" i="22"/>
  <c r="J5" i="1"/>
  <c r="AJ13" i="30"/>
  <c r="AJ117" i="29"/>
  <c r="AJ173" i="32"/>
  <c r="J181" i="3"/>
  <c r="AJ145" i="2"/>
  <c r="J47" i="22"/>
  <c r="J181" i="26"/>
  <c r="J87" i="33"/>
  <c r="AJ126" i="29"/>
  <c r="AJ169" i="30"/>
  <c r="J165"/>
  <c r="AJ174" i="29"/>
  <c r="AJ19" i="11"/>
  <c r="AJ91" i="24"/>
  <c r="J18" i="23"/>
  <c r="J121" i="22"/>
  <c r="J131" i="16"/>
  <c r="AJ71" i="9"/>
  <c r="J65" i="6"/>
  <c r="AJ56" i="31"/>
  <c r="AJ84" i="17"/>
  <c r="J59" i="19"/>
  <c r="J165" i="7"/>
  <c r="AJ78" i="23"/>
  <c r="AJ10" i="12"/>
  <c r="J42" i="1"/>
  <c r="AJ36" i="23"/>
  <c r="AJ39" i="1"/>
  <c r="AJ52" i="4"/>
  <c r="AJ148" i="27"/>
  <c r="AJ11" i="12"/>
  <c r="AJ82" i="19"/>
  <c r="J94" i="26"/>
  <c r="AJ157" i="3"/>
  <c r="AJ151" i="6"/>
  <c r="AJ84" i="16"/>
  <c r="AJ52" i="3"/>
  <c r="J54" i="17"/>
  <c r="J132" i="16"/>
  <c r="J47" i="31"/>
  <c r="AJ56" i="29"/>
  <c r="AJ91" i="23"/>
  <c r="J155" i="15"/>
  <c r="AJ154" i="6"/>
  <c r="AJ45"/>
  <c r="AJ48" i="20"/>
  <c r="AJ155" i="5"/>
  <c r="AJ61" i="9"/>
  <c r="AJ151" i="31"/>
  <c r="AJ85" i="20"/>
  <c r="AJ149" i="4"/>
  <c r="AJ164" i="1"/>
  <c r="AJ139" i="33"/>
  <c r="AJ153" i="32"/>
  <c r="AJ33" i="27"/>
  <c r="AJ42" i="1"/>
  <c r="AJ170" i="29"/>
  <c r="J135" i="30"/>
  <c r="AJ146" i="1"/>
  <c r="AJ30" i="10"/>
  <c r="AJ27" i="7"/>
  <c r="AJ83" i="31"/>
  <c r="AJ95" i="33"/>
  <c r="AJ95" i="3"/>
  <c r="AJ67"/>
  <c r="J58" i="33"/>
  <c r="J34"/>
  <c r="AJ165" i="12"/>
  <c r="AJ162" i="27"/>
  <c r="AJ111" i="17"/>
  <c r="AJ27" i="21"/>
  <c r="AJ43" i="33"/>
  <c r="AJ149" i="12"/>
  <c r="J57" i="11"/>
  <c r="AJ56" i="21"/>
  <c r="AJ103" i="26"/>
  <c r="AJ40" i="30"/>
  <c r="AJ74" i="12"/>
  <c r="AJ21" i="17"/>
  <c r="AJ147" i="31"/>
  <c r="AJ70" i="32"/>
  <c r="AJ185" i="2"/>
  <c r="AJ41" i="9"/>
  <c r="AJ179" i="27"/>
  <c r="AJ100" i="28"/>
  <c r="AJ91" i="32"/>
  <c r="AJ53" i="9"/>
  <c r="AJ161" i="6"/>
  <c r="AJ47" i="18"/>
  <c r="AJ181" i="30"/>
  <c r="AJ158" i="9"/>
  <c r="AJ52" i="28"/>
  <c r="AJ26" i="33"/>
  <c r="AJ37" i="32"/>
  <c r="J122" i="17"/>
  <c r="J169" i="7"/>
  <c r="J72" i="6"/>
  <c r="J143" i="22"/>
  <c r="J21" i="5"/>
  <c r="J60" i="32"/>
  <c r="J6" i="9"/>
  <c r="AJ21" i="12"/>
  <c r="AJ79"/>
  <c r="J9" i="24"/>
  <c r="J21"/>
  <c r="AJ181" i="20"/>
  <c r="J148" i="7"/>
  <c r="AJ7" i="9"/>
  <c r="J168" i="23"/>
  <c r="AJ131" i="10"/>
  <c r="AJ128" i="19"/>
  <c r="AJ159" i="4"/>
  <c r="AJ102" i="29"/>
  <c r="AJ152" i="20"/>
  <c r="AJ134" i="30"/>
  <c r="J56" i="5"/>
  <c r="AJ157" i="33"/>
  <c r="AJ13" i="15"/>
  <c r="AJ143" i="18"/>
  <c r="AJ38" i="20"/>
  <c r="AJ136" i="4"/>
  <c r="AJ50" i="22"/>
  <c r="AJ11" i="10"/>
  <c r="AJ29" i="4"/>
  <c r="AJ143" i="22"/>
  <c r="AJ167" i="5"/>
  <c r="J182" i="20"/>
  <c r="AJ145" i="28"/>
  <c r="AJ147" i="20"/>
  <c r="AJ140" i="30"/>
  <c r="AJ161"/>
  <c r="J37" i="15"/>
  <c r="J89" i="22"/>
  <c r="AJ117" i="23"/>
  <c r="AJ87" i="18"/>
  <c r="AJ42" i="12"/>
  <c r="J59" i="3"/>
  <c r="AJ149" i="7"/>
  <c r="AJ27" i="30"/>
  <c r="AJ69" i="5"/>
  <c r="AJ24" i="23"/>
  <c r="AJ115" i="3"/>
  <c r="J76" i="9"/>
  <c r="AJ100" i="22"/>
  <c r="AJ3" i="31"/>
  <c r="AJ145" i="18"/>
  <c r="AJ9" i="2"/>
  <c r="AJ136" i="11"/>
  <c r="AJ149" i="1"/>
  <c r="AJ169" i="11"/>
  <c r="AJ86" i="10"/>
  <c r="AJ14" i="15"/>
  <c r="AJ9" i="17"/>
  <c r="AJ56" i="16"/>
  <c r="AJ6" i="32"/>
  <c r="AJ103" i="15"/>
  <c r="AJ176" i="21"/>
  <c r="J85" i="32"/>
  <c r="AJ138" i="23"/>
  <c r="J100" i="19"/>
  <c r="AJ77" i="31"/>
  <c r="AJ30" i="30"/>
  <c r="J127" i="3"/>
  <c r="AJ81" i="17"/>
  <c r="J16" i="27"/>
  <c r="J47" i="5"/>
  <c r="AJ177" i="7"/>
  <c r="AJ88"/>
  <c r="J66" i="1"/>
  <c r="AJ165" i="21"/>
  <c r="AJ45" i="24"/>
  <c r="AJ136" i="27"/>
  <c r="AJ158" i="6"/>
  <c r="AJ147" i="17"/>
  <c r="AJ164" i="2"/>
  <c r="AJ115" i="16"/>
  <c r="J120" i="27"/>
  <c r="AJ159" i="21"/>
  <c r="AJ117" i="7"/>
  <c r="AJ33" i="24"/>
  <c r="AJ173" i="11"/>
  <c r="AJ4" i="19"/>
  <c r="AJ65" i="30"/>
  <c r="AJ58" i="19"/>
  <c r="AJ57" i="23"/>
  <c r="AJ76" i="28"/>
  <c r="AJ171" i="16"/>
  <c r="AJ172"/>
  <c r="AJ166" i="5"/>
  <c r="J51" i="22"/>
  <c r="AJ103" i="6"/>
  <c r="AJ125" i="19"/>
  <c r="AJ97" i="11"/>
  <c r="AJ54" i="18"/>
  <c r="AJ129" i="32"/>
  <c r="J37" i="12"/>
  <c r="AJ14" i="17"/>
  <c r="AJ44" i="21"/>
  <c r="AJ131" i="17"/>
  <c r="AJ124" i="10"/>
  <c r="AJ28" i="18"/>
  <c r="AJ174" i="1"/>
  <c r="AJ48" i="24"/>
  <c r="J151" i="31"/>
  <c r="AJ79" i="33"/>
  <c r="AJ111" i="30"/>
  <c r="AJ51" i="23"/>
  <c r="J118" i="27"/>
  <c r="AJ135" i="15"/>
  <c r="AJ3" i="19"/>
  <c r="J6" i="22"/>
  <c r="AJ145" i="33"/>
  <c r="J37" i="11"/>
  <c r="AJ183" i="15"/>
  <c r="AJ72" i="3"/>
  <c r="AJ156" i="29"/>
  <c r="AJ45" i="33"/>
  <c r="J72" i="5"/>
  <c r="AJ134" i="18"/>
  <c r="AJ165" i="11"/>
  <c r="AJ96" i="16"/>
  <c r="AJ181" i="7"/>
  <c r="AJ109" i="16"/>
  <c r="AJ126" i="5"/>
  <c r="AJ145" i="9"/>
  <c r="AJ121" i="16"/>
  <c r="AJ72" i="20"/>
  <c r="J96" i="17"/>
  <c r="J26" i="32"/>
  <c r="J142" i="24"/>
  <c r="AJ162" i="18"/>
  <c r="AJ125" i="33"/>
  <c r="AJ141" i="11"/>
  <c r="AJ54" i="3"/>
  <c r="AJ31" i="11"/>
  <c r="AJ85" i="22"/>
  <c r="J139" i="6"/>
  <c r="AJ51" i="19"/>
  <c r="AJ124" i="3"/>
  <c r="AJ173" i="17"/>
  <c r="J135" i="24"/>
  <c r="AJ102" i="16"/>
  <c r="AJ105" i="21"/>
  <c r="AJ101" i="15"/>
  <c r="AJ150" i="7"/>
  <c r="AJ95" i="30"/>
  <c r="AJ80" i="27"/>
  <c r="J117" i="10"/>
  <c r="AJ174" i="27"/>
  <c r="AJ50"/>
  <c r="AJ20" i="16"/>
  <c r="AJ62" i="30"/>
  <c r="AJ183" i="32"/>
  <c r="J174" i="22"/>
  <c r="AJ110" i="31"/>
  <c r="AJ184" i="11"/>
  <c r="AJ88" i="27"/>
  <c r="AJ179" i="16"/>
  <c r="AJ79" i="17"/>
  <c r="AJ132" i="4"/>
  <c r="J40" i="1"/>
  <c r="J14" i="5"/>
  <c r="AJ40" i="18"/>
  <c r="AJ117" i="33"/>
  <c r="AJ94" i="15"/>
  <c r="AJ9" i="12"/>
  <c r="AJ43" i="23"/>
  <c r="J162" i="11"/>
  <c r="J147" i="17"/>
  <c r="AJ140" i="7"/>
  <c r="J115" i="33"/>
  <c r="AJ29" i="22"/>
  <c r="AJ44" i="9"/>
  <c r="AJ27" i="22"/>
  <c r="AJ19" i="28"/>
  <c r="AJ84" i="1"/>
  <c r="AJ177" i="33"/>
  <c r="AJ122" i="30"/>
  <c r="AJ55"/>
  <c r="AJ89" i="15"/>
  <c r="AJ43" i="9"/>
  <c r="AJ43" i="16"/>
  <c r="AJ52" i="6"/>
  <c r="AJ165" i="9"/>
  <c r="AJ101" i="29"/>
  <c r="AJ78" i="21"/>
  <c r="AJ25" i="32"/>
  <c r="AJ172" i="6"/>
  <c r="AJ131" i="9"/>
  <c r="AJ107" i="27"/>
  <c r="AJ121" i="10"/>
  <c r="AJ33"/>
  <c r="J35" i="23"/>
  <c r="J170" i="33"/>
  <c r="AJ40" i="21"/>
  <c r="J160" i="33"/>
  <c r="J28" i="19"/>
  <c r="J21" i="3"/>
  <c r="AJ112" i="23"/>
  <c r="AJ18" i="17"/>
  <c r="AJ180" i="32"/>
  <c r="AJ152" i="33"/>
  <c r="AJ50" i="10"/>
  <c r="J89" i="6"/>
  <c r="J37" i="9"/>
  <c r="AJ122"/>
  <c r="J142" i="16"/>
  <c r="AJ22" i="6"/>
  <c r="AJ46" i="26"/>
  <c r="AJ118" i="17"/>
  <c r="AJ84" i="27"/>
  <c r="AJ42" i="32"/>
  <c r="AJ146" i="28"/>
  <c r="AJ14" i="10"/>
  <c r="AJ41" i="20"/>
  <c r="AJ180" i="23"/>
  <c r="AJ45" i="32"/>
  <c r="AJ11" i="19"/>
  <c r="J46" i="7"/>
  <c r="AJ90" i="16"/>
  <c r="AJ18" i="11"/>
  <c r="J81" i="22"/>
  <c r="AJ3" i="17"/>
  <c r="AJ89" i="33"/>
  <c r="AJ76" i="1"/>
  <c r="AJ57" i="17"/>
  <c r="AJ40" i="16"/>
  <c r="AJ65" i="27"/>
  <c r="AJ116" i="7"/>
  <c r="AJ29" i="6"/>
  <c r="J158" i="7"/>
  <c r="AJ166" i="16"/>
  <c r="AJ128" i="23"/>
  <c r="AJ66" i="16"/>
  <c r="AJ101" i="32"/>
  <c r="AJ104" i="27"/>
  <c r="AJ109" i="17"/>
  <c r="AJ70" i="30"/>
  <c r="AJ69" i="12"/>
  <c r="AJ51" i="33"/>
  <c r="AJ73" i="11"/>
  <c r="AJ173" i="23"/>
  <c r="AJ154" i="31"/>
  <c r="J101" i="22"/>
  <c r="AJ58" i="3"/>
  <c r="AJ15" i="28"/>
  <c r="AJ159" i="19"/>
  <c r="AJ39" i="9"/>
  <c r="J16" i="19"/>
  <c r="AJ98" i="32"/>
  <c r="AJ21" i="33"/>
  <c r="AJ146" i="9"/>
  <c r="AJ3" i="27"/>
  <c r="J46" i="10"/>
  <c r="AJ185" i="32"/>
  <c r="J166" i="7"/>
  <c r="J14" i="9"/>
  <c r="AJ87" i="5"/>
  <c r="AJ15" i="15"/>
  <c r="AJ161"/>
  <c r="AJ102" i="6"/>
  <c r="AJ149"/>
  <c r="AJ151" i="2"/>
  <c r="AJ179" i="15"/>
  <c r="AJ128" i="17"/>
  <c r="AJ68" i="1"/>
  <c r="AJ134" i="3"/>
  <c r="AJ22" i="21"/>
  <c r="J30" i="9"/>
  <c r="AJ156" i="6"/>
  <c r="AJ108" i="9"/>
  <c r="AJ75" i="27"/>
  <c r="AJ96" i="30"/>
  <c r="AJ144" i="16"/>
  <c r="AJ155" i="19"/>
  <c r="AJ157" i="2"/>
  <c r="J4" i="32"/>
  <c r="AJ62" i="16"/>
  <c r="AJ62" i="4"/>
  <c r="AJ97" i="5"/>
  <c r="AJ164" i="3"/>
  <c r="AJ151" i="19"/>
  <c r="AJ114" i="10"/>
  <c r="AJ132" i="11"/>
  <c r="AJ59" i="19"/>
  <c r="AJ180" i="7"/>
  <c r="AJ145" i="5"/>
  <c r="AJ113" i="21"/>
  <c r="J182" i="9"/>
  <c r="AJ60" i="12"/>
  <c r="AJ37" i="16"/>
  <c r="AJ175" i="30"/>
  <c r="AJ96" i="9"/>
  <c r="J50" i="27"/>
  <c r="AJ160" i="31"/>
  <c r="J95"/>
  <c r="AJ123" i="33"/>
  <c r="AJ82" i="29"/>
  <c r="AJ6" i="31"/>
  <c r="AJ14" i="11"/>
  <c r="AJ91" i="31"/>
  <c r="AJ112" i="11"/>
  <c r="AJ38" i="19"/>
  <c r="AJ179" i="4"/>
  <c r="AJ11" i="30"/>
  <c r="AJ62" i="33"/>
  <c r="AJ28"/>
  <c r="AJ73" i="29"/>
  <c r="AJ56" i="30"/>
  <c r="AJ73" i="22"/>
  <c r="AJ173" i="7"/>
  <c r="AJ178" i="33"/>
  <c r="AJ155" i="1"/>
  <c r="AJ3" i="11"/>
  <c r="J135" i="9"/>
  <c r="AJ83" i="11"/>
  <c r="AJ13" i="5"/>
  <c r="AJ137" i="20"/>
  <c r="AJ171" i="1"/>
  <c r="AJ96" i="32"/>
  <c r="J38" i="2"/>
  <c r="J96" i="28"/>
  <c r="J182" i="19"/>
  <c r="J109" i="29"/>
  <c r="J160" i="32"/>
  <c r="J88" i="28"/>
  <c r="J120" i="15"/>
  <c r="J135" i="31"/>
  <c r="J92" i="20"/>
  <c r="J73" i="26"/>
  <c r="J5" i="15"/>
  <c r="J170" i="9"/>
  <c r="J178" i="2"/>
  <c r="J67" i="18"/>
  <c r="J116"/>
  <c r="J166" i="32"/>
  <c r="J63" i="11"/>
  <c r="J51" i="24"/>
  <c r="J84" i="26"/>
  <c r="J154" i="30"/>
  <c r="J116" i="6"/>
  <c r="J163" i="25"/>
  <c r="J9" i="2"/>
  <c r="J3" i="18"/>
  <c r="AJ14" i="26"/>
  <c r="J117" i="4"/>
  <c r="J31" i="23"/>
  <c r="J44" i="9"/>
  <c r="AJ148" i="26"/>
  <c r="J183" i="12"/>
  <c r="AJ66" i="29"/>
  <c r="J178" i="32"/>
  <c r="J34" i="22"/>
  <c r="J168"/>
  <c r="AJ29" i="12"/>
  <c r="AJ101" i="26"/>
  <c r="AJ177" i="24"/>
  <c r="J161" i="31"/>
  <c r="J46" i="27"/>
  <c r="J96" i="7"/>
  <c r="J23" i="23"/>
  <c r="AJ75" i="26"/>
  <c r="J61" i="22"/>
  <c r="J92" i="11"/>
  <c r="J64" i="17"/>
  <c r="J115" i="11"/>
  <c r="AJ125" i="28"/>
  <c r="J179"/>
  <c r="J180" i="19"/>
  <c r="J130" i="26"/>
  <c r="AJ8" i="2"/>
  <c r="J118" i="21"/>
  <c r="J154" i="19"/>
  <c r="J72" i="16"/>
  <c r="J145" i="29"/>
  <c r="J168" i="19"/>
  <c r="AJ153" i="18"/>
  <c r="AJ53" i="21"/>
  <c r="AJ22" i="7"/>
  <c r="AJ3"/>
  <c r="AJ78" i="19"/>
  <c r="J66" i="25"/>
  <c r="J162" i="27"/>
  <c r="AJ32" i="12"/>
  <c r="AJ109" i="24"/>
  <c r="AJ84" i="21"/>
  <c r="AJ82" i="18"/>
  <c r="AJ15" i="9"/>
  <c r="AJ99" i="29"/>
  <c r="AJ56" i="22"/>
  <c r="AJ137" i="28"/>
  <c r="AJ20"/>
  <c r="AJ134" i="4"/>
  <c r="AJ112" i="20"/>
  <c r="J49" i="16"/>
  <c r="AJ127" i="4"/>
  <c r="J151" i="6"/>
  <c r="J77" i="1"/>
  <c r="AJ131" i="12"/>
  <c r="AJ107" i="9"/>
  <c r="AJ10" i="21"/>
  <c r="AJ74"/>
  <c r="J172" i="30"/>
  <c r="J15" i="5"/>
  <c r="AJ72" i="29"/>
  <c r="J71" i="31"/>
  <c r="J140"/>
  <c r="AJ155" i="9"/>
  <c r="J56" i="16"/>
  <c r="J183" i="19"/>
  <c r="AJ63" i="12"/>
  <c r="AJ69" i="23"/>
  <c r="AJ130" i="20"/>
  <c r="J97" i="16"/>
  <c r="AJ68" i="18"/>
  <c r="AJ96" i="31"/>
  <c r="AJ6" i="28"/>
  <c r="AJ45"/>
  <c r="J52" i="3"/>
  <c r="J45" i="29"/>
  <c r="AJ102" i="21"/>
  <c r="AJ156" i="2"/>
  <c r="AJ17"/>
  <c r="AJ139" i="4"/>
  <c r="AJ103" i="21"/>
  <c r="AJ13" i="4"/>
  <c r="AJ128"/>
  <c r="AJ70"/>
  <c r="J185" i="26"/>
  <c r="J155" i="27"/>
  <c r="AJ151" i="9"/>
  <c r="AJ86" i="5"/>
  <c r="J184" i="23"/>
  <c r="AJ168" i="30"/>
  <c r="AJ68" i="9"/>
  <c r="AJ57" i="20"/>
  <c r="AJ33" i="2"/>
  <c r="AJ4" i="21"/>
  <c r="J52" i="9"/>
  <c r="AJ85" i="32"/>
  <c r="AJ109" i="6"/>
  <c r="AJ40" i="7"/>
  <c r="J139" i="5"/>
  <c r="AJ15" i="19"/>
  <c r="AJ175" i="9"/>
  <c r="AJ73" i="3"/>
  <c r="AJ127" i="12"/>
  <c r="J117" i="22"/>
  <c r="AJ183" i="16"/>
  <c r="J176" i="23"/>
  <c r="J171" i="12"/>
  <c r="J30" i="15"/>
  <c r="J140" i="32"/>
  <c r="J99" i="22"/>
  <c r="AJ56" i="27"/>
  <c r="J185" i="19"/>
  <c r="AJ164" i="21"/>
  <c r="AJ31" i="20"/>
  <c r="AJ133" i="7"/>
  <c r="AJ111" i="29"/>
  <c r="AJ88" i="5"/>
  <c r="AJ119" i="18"/>
  <c r="AJ57" i="32"/>
  <c r="AJ8" i="15"/>
  <c r="AJ142" i="30"/>
  <c r="AJ81" i="11"/>
  <c r="AJ177" i="3"/>
  <c r="AJ17" i="5"/>
  <c r="AJ38" i="10"/>
  <c r="AJ67" i="6"/>
  <c r="AJ62" i="15"/>
  <c r="AJ16" i="30"/>
  <c r="AJ13" i="1"/>
  <c r="AJ20" i="3"/>
  <c r="AJ140" i="6"/>
  <c r="AJ182" i="1"/>
  <c r="AJ85"/>
  <c r="J63" i="19"/>
  <c r="J150" i="15"/>
  <c r="J176" i="18"/>
  <c r="AJ42" i="2"/>
  <c r="AJ115" i="21"/>
  <c r="AJ160" i="30"/>
  <c r="AJ168" i="21"/>
  <c r="AJ36" i="20"/>
  <c r="AJ80" i="2"/>
  <c r="AJ101" i="17"/>
  <c r="AJ8"/>
  <c r="AJ122" i="12"/>
  <c r="J126" i="3"/>
  <c r="AJ164" i="33"/>
  <c r="AJ34" i="22"/>
  <c r="AJ13" i="17"/>
  <c r="AJ30" i="26"/>
  <c r="AJ28" i="22"/>
  <c r="AJ41" i="19"/>
  <c r="AJ181" i="32"/>
  <c r="AJ164" i="11"/>
  <c r="J35" i="30"/>
  <c r="AJ22" i="17"/>
  <c r="AJ181" i="4"/>
  <c r="AJ135" i="5"/>
  <c r="AJ30" i="19"/>
  <c r="AJ133" i="32"/>
  <c r="AJ11" i="27"/>
  <c r="AJ175" i="28"/>
  <c r="J71" i="26"/>
  <c r="J162" i="1"/>
  <c r="J28" i="5"/>
  <c r="AJ76" i="26"/>
  <c r="J113" i="19"/>
  <c r="AJ155" i="6"/>
  <c r="J112" i="28"/>
  <c r="AJ149" i="32"/>
  <c r="AJ133" i="19"/>
  <c r="AJ144" i="20"/>
  <c r="AJ115" i="33"/>
  <c r="AJ96" i="27"/>
  <c r="J69" i="10"/>
  <c r="J136" i="5"/>
  <c r="AJ90" i="9"/>
  <c r="J130" i="1"/>
  <c r="AJ51" i="12"/>
  <c r="AJ58" i="5"/>
  <c r="AJ66" i="30"/>
  <c r="J78" i="9"/>
  <c r="AJ85" i="17"/>
  <c r="AJ156" i="27"/>
  <c r="AJ79" i="28"/>
  <c r="AJ138" i="2"/>
  <c r="AJ7" i="5"/>
  <c r="AJ73" i="32"/>
  <c r="J24" i="19"/>
  <c r="AJ116" i="17"/>
  <c r="AJ152" i="5"/>
  <c r="AJ176" i="3"/>
  <c r="AJ3" i="5"/>
  <c r="AJ172" i="32"/>
  <c r="J31" i="18"/>
  <c r="AJ149" i="21"/>
  <c r="AJ48" i="12"/>
  <c r="AJ3" i="16"/>
  <c r="AJ131" i="23"/>
  <c r="AJ56" i="20"/>
  <c r="AJ151" i="27"/>
  <c r="AJ171" i="31"/>
  <c r="AJ165" i="26"/>
  <c r="AJ57" i="21"/>
  <c r="AJ166" i="2"/>
  <c r="AJ130" i="10"/>
  <c r="AJ137" i="31"/>
  <c r="AJ88" i="1"/>
  <c r="AJ134" i="16"/>
  <c r="J58" i="10"/>
  <c r="AJ82" i="20"/>
  <c r="AJ125" i="1"/>
  <c r="AJ163" i="21"/>
  <c r="AJ53" i="15"/>
  <c r="AJ158" i="23"/>
  <c r="AJ66" i="19"/>
  <c r="AJ182" i="4"/>
  <c r="AJ82" i="26"/>
  <c r="AJ134" i="28"/>
  <c r="AJ144" i="6"/>
  <c r="AJ42" i="15"/>
  <c r="AJ53" i="23"/>
  <c r="AJ124" i="7"/>
  <c r="AJ54" i="4"/>
  <c r="AJ150" i="6"/>
  <c r="AJ124" i="4"/>
  <c r="AJ43" i="1"/>
  <c r="AJ93" i="2"/>
  <c r="AJ161" i="1"/>
  <c r="AJ150" i="3"/>
  <c r="J65" i="26"/>
  <c r="J56" i="30"/>
  <c r="AJ19" i="1"/>
  <c r="J121" i="11"/>
  <c r="J4" i="20"/>
  <c r="AJ84" i="7"/>
  <c r="AJ131" i="22"/>
  <c r="AJ181" i="6"/>
  <c r="AJ12" i="32"/>
  <c r="AJ67" i="9"/>
  <c r="J31" i="5"/>
  <c r="AJ81" i="30"/>
  <c r="AJ100" i="4"/>
  <c r="AJ6" i="17"/>
  <c r="AJ121" i="6"/>
  <c r="AJ133" i="2"/>
  <c r="AJ38" i="30"/>
  <c r="AJ48" i="26"/>
  <c r="AJ184" i="23"/>
  <c r="J129" i="32"/>
  <c r="AJ70" i="15"/>
  <c r="AJ110" i="2"/>
  <c r="AJ104" i="4"/>
  <c r="AJ24" i="9"/>
  <c r="AJ126" i="23"/>
  <c r="AJ7" i="4"/>
  <c r="AJ136" i="16"/>
  <c r="AJ146" i="22"/>
  <c r="AJ154" i="7"/>
  <c r="AJ169" i="29"/>
  <c r="AJ76" i="11"/>
  <c r="J115" i="19"/>
  <c r="AJ163" i="6"/>
  <c r="AJ146" i="26"/>
  <c r="AJ83" i="29"/>
  <c r="AJ132" i="27"/>
  <c r="J182" i="11"/>
  <c r="J29" i="26"/>
  <c r="AJ143" i="33"/>
  <c r="AJ111" i="23"/>
  <c r="AJ49"/>
  <c r="AJ94" i="5"/>
  <c r="AJ184" i="31"/>
  <c r="AJ17" i="21"/>
  <c r="AJ123" i="32"/>
  <c r="J140" i="19"/>
  <c r="AJ159" i="7"/>
  <c r="AJ95" i="5"/>
  <c r="J66" i="7"/>
  <c r="AJ140" i="32"/>
  <c r="J109" i="9"/>
  <c r="AJ123" i="3"/>
  <c r="AJ9" i="21"/>
  <c r="AJ153" i="5"/>
  <c r="J93" i="11"/>
  <c r="AJ86" i="30"/>
  <c r="AJ5" i="32"/>
  <c r="AJ71" i="10"/>
  <c r="J57" i="23"/>
  <c r="AJ55" i="1"/>
  <c r="AJ171" i="9"/>
  <c r="AJ43" i="15"/>
  <c r="AJ162" i="12"/>
  <c r="AJ49" i="15"/>
  <c r="AJ61" i="27"/>
  <c r="J154" i="24"/>
  <c r="J30" i="30"/>
  <c r="J68" i="23"/>
  <c r="AJ75" i="15"/>
  <c r="J96" i="24"/>
  <c r="AJ175" i="29"/>
  <c r="AJ175" i="23"/>
  <c r="AJ71" i="29"/>
  <c r="AJ150" i="21"/>
  <c r="AJ104" i="1"/>
  <c r="AJ47" i="19"/>
  <c r="AJ36" i="3"/>
  <c r="AJ99" i="30"/>
  <c r="AJ111" i="9"/>
  <c r="AJ140" i="11"/>
  <c r="AJ69" i="18"/>
  <c r="J29" i="1"/>
  <c r="AJ124" i="6"/>
  <c r="AJ21" i="24"/>
  <c r="AJ77" i="22"/>
  <c r="AJ64" i="6"/>
  <c r="J91" i="27"/>
  <c r="AJ34" i="1"/>
  <c r="AJ35" i="33"/>
  <c r="AJ156" i="22"/>
  <c r="J173" i="1"/>
  <c r="AJ130" i="31"/>
  <c r="J113" i="16"/>
  <c r="AJ142" i="1"/>
  <c r="AJ147" i="33"/>
  <c r="AJ73"/>
  <c r="AJ77" i="20"/>
  <c r="J144" i="19"/>
  <c r="J78" i="20"/>
  <c r="J111" i="3"/>
  <c r="AJ23" i="1"/>
  <c r="J63" i="3"/>
  <c r="J91" i="33"/>
  <c r="AJ120" i="3"/>
  <c r="AJ156" i="20"/>
  <c r="AJ47" i="4"/>
  <c r="AJ150" i="27"/>
  <c r="AJ143" i="1"/>
  <c r="J60" i="16"/>
  <c r="AJ155" i="17"/>
  <c r="AJ158" i="31"/>
  <c r="AJ15" i="1"/>
  <c r="AJ83" i="19"/>
  <c r="AJ25" i="11"/>
  <c r="AJ125" i="30"/>
  <c r="AJ184" i="16"/>
  <c r="AJ171" i="10"/>
  <c r="AJ98" i="16"/>
  <c r="J169" i="22"/>
  <c r="AJ107" i="1"/>
  <c r="J38"/>
  <c r="J123"/>
  <c r="AJ178" i="17"/>
  <c r="AJ66"/>
  <c r="AJ65" i="19"/>
  <c r="AJ136" i="23"/>
  <c r="AJ113" i="7"/>
  <c r="AJ32" i="18"/>
  <c r="J183" i="25"/>
  <c r="AJ116" i="29"/>
  <c r="J10" i="18"/>
  <c r="AJ111" i="4"/>
  <c r="AJ155" i="3"/>
  <c r="AJ160" i="6"/>
  <c r="AJ171" i="5"/>
  <c r="AJ148" i="10"/>
  <c r="J125" i="30"/>
  <c r="J89" i="5"/>
  <c r="AJ80" i="33"/>
  <c r="AJ94" i="3"/>
  <c r="AJ45"/>
  <c r="AJ51" i="2"/>
  <c r="AJ39" i="15"/>
  <c r="AJ147"/>
  <c r="AJ12" i="16"/>
  <c r="J183" i="31"/>
  <c r="AJ16" i="33"/>
  <c r="AJ112" i="15"/>
  <c r="AJ45" i="20"/>
  <c r="AJ144" i="18"/>
  <c r="AJ28" i="11"/>
  <c r="AJ121" i="23"/>
  <c r="AJ31" i="5"/>
  <c r="AJ56" i="24"/>
  <c r="AJ75" i="32"/>
  <c r="AJ167" i="16"/>
  <c r="AJ37" i="17"/>
  <c r="AJ145" i="6"/>
  <c r="AJ26"/>
  <c r="AJ118" i="5"/>
  <c r="AJ58" i="9"/>
  <c r="AJ168"/>
  <c r="AJ21" i="16"/>
  <c r="AJ61" i="5"/>
  <c r="AJ21" i="19"/>
  <c r="AJ8" i="26"/>
  <c r="AJ84" i="10"/>
  <c r="AJ143" i="9"/>
  <c r="AJ34" i="3"/>
  <c r="AJ4" i="11"/>
  <c r="AJ33" i="3"/>
  <c r="AJ25" i="19"/>
  <c r="AJ117" i="16"/>
  <c r="AJ105" i="4"/>
  <c r="AJ178" i="30"/>
  <c r="AJ9" i="4"/>
  <c r="J29" i="6"/>
  <c r="AJ157" i="17"/>
  <c r="J58" i="6"/>
  <c r="AJ20" i="32"/>
  <c r="AJ177" i="22"/>
  <c r="J130" i="23"/>
  <c r="J166" i="24"/>
  <c r="AJ27" i="12"/>
  <c r="AJ147" i="30"/>
  <c r="AJ94" i="17"/>
  <c r="J99" i="5"/>
  <c r="AJ168" i="12"/>
  <c r="AJ149" i="11"/>
  <c r="AJ92" i="21"/>
  <c r="AJ21" i="15"/>
  <c r="AJ81" i="9"/>
  <c r="AJ21" i="31"/>
  <c r="AJ86" i="7"/>
  <c r="AJ102" i="17"/>
  <c r="AJ160" i="5"/>
  <c r="AJ82" i="9"/>
  <c r="AJ134" i="31"/>
  <c r="AJ146" i="16"/>
  <c r="AJ163" i="1"/>
  <c r="AJ112" i="3"/>
  <c r="AJ185" i="30"/>
  <c r="AJ75" i="31"/>
  <c r="AJ47" i="5"/>
  <c r="AJ105" i="1"/>
  <c r="AJ119" i="30"/>
  <c r="AJ134" i="11"/>
  <c r="AJ135" i="16"/>
  <c r="AJ178" i="23"/>
  <c r="AJ16" i="21"/>
  <c r="AJ39" i="4"/>
  <c r="AJ91" i="1"/>
  <c r="AJ136" i="22"/>
  <c r="AJ76" i="31"/>
  <c r="AJ138" i="30"/>
  <c r="AJ37" i="10"/>
  <c r="J28" i="2"/>
  <c r="AJ8" i="27"/>
  <c r="AJ164" i="17"/>
  <c r="AJ143" i="10"/>
  <c r="J35" i="9"/>
  <c r="AJ70" i="3"/>
  <c r="AJ179" i="6"/>
  <c r="AJ34" i="32"/>
  <c r="AJ82" i="1"/>
  <c r="AJ171" i="19"/>
  <c r="AJ146" i="17"/>
  <c r="J31" i="11"/>
  <c r="AJ140" i="27"/>
  <c r="AJ142" i="19"/>
  <c r="J85" i="17"/>
  <c r="J177" i="7"/>
  <c r="AJ110" i="20"/>
  <c r="AJ78" i="12"/>
  <c r="AJ10" i="7"/>
  <c r="AJ105" i="27"/>
  <c r="AJ135" i="31"/>
  <c r="AJ127" i="15"/>
  <c r="J179" i="17"/>
  <c r="J54" i="33"/>
  <c r="AJ37" i="22"/>
  <c r="AJ52" i="11"/>
  <c r="AJ68" i="20"/>
  <c r="AJ104" i="16"/>
  <c r="AJ86" i="22"/>
  <c r="AJ63" i="32"/>
  <c r="AJ45" i="30"/>
  <c r="AJ168" i="11"/>
  <c r="AJ106" i="30"/>
  <c r="AJ46"/>
  <c r="AJ183" i="27"/>
  <c r="J59" i="31"/>
  <c r="AJ100" i="9"/>
  <c r="AJ174" i="16"/>
  <c r="AJ31" i="3"/>
  <c r="J20" i="6"/>
  <c r="AJ122" i="15"/>
  <c r="AJ33" i="16"/>
  <c r="AJ24" i="19"/>
  <c r="J130" i="24"/>
  <c r="J29" i="29"/>
  <c r="J65" i="24"/>
  <c r="J20" i="18"/>
  <c r="J20" i="7"/>
  <c r="J45" i="25"/>
  <c r="J177"/>
  <c r="J112" i="18"/>
  <c r="J73" i="2"/>
  <c r="J173" i="32"/>
  <c r="J165" i="26"/>
  <c r="AJ98" i="21"/>
  <c r="J132" i="23"/>
  <c r="AJ106" i="12"/>
  <c r="J14" i="2"/>
  <c r="J100" i="33"/>
  <c r="AJ185" i="9"/>
  <c r="J78" i="17"/>
  <c r="J173" i="27"/>
  <c r="AJ79" i="18"/>
  <c r="AJ124" i="31"/>
  <c r="J158" i="28"/>
  <c r="J21" i="11"/>
  <c r="J57" i="22"/>
  <c r="AJ182" i="23"/>
  <c r="J56" i="26"/>
  <c r="J54" i="9"/>
  <c r="J37" i="22"/>
  <c r="J163"/>
  <c r="AJ185" i="23"/>
  <c r="J4" i="1"/>
  <c r="AJ32" i="9"/>
  <c r="AJ115" i="5"/>
  <c r="AJ162" i="9"/>
  <c r="AJ31" i="6"/>
  <c r="J46" i="1"/>
  <c r="J141" i="7"/>
  <c r="AJ155" i="23"/>
  <c r="AJ149" i="20"/>
  <c r="AJ57" i="3"/>
  <c r="J172" i="1"/>
  <c r="AJ185" i="10"/>
  <c r="AJ170" i="4"/>
  <c r="AJ45" i="7"/>
  <c r="AJ173" i="20"/>
  <c r="AJ91" i="12"/>
  <c r="AJ121" i="21"/>
  <c r="AJ172" i="24"/>
  <c r="J129" i="7"/>
  <c r="AJ149" i="33"/>
  <c r="AJ51" i="24"/>
  <c r="AJ162" i="6"/>
  <c r="AJ117" i="31"/>
  <c r="AJ93" i="26"/>
  <c r="AJ33" i="20"/>
  <c r="AJ29" i="7"/>
  <c r="AJ141" i="20"/>
  <c r="AJ3" i="28"/>
  <c r="AJ180" i="19"/>
  <c r="AJ108" i="5"/>
  <c r="AJ135" i="6"/>
  <c r="AJ29" i="26"/>
  <c r="AJ34" i="7"/>
  <c r="AJ112" i="6"/>
  <c r="AJ13" i="24"/>
  <c r="J98" i="12"/>
  <c r="AJ100" i="5"/>
  <c r="AJ102" i="20"/>
  <c r="AJ178" i="1"/>
  <c r="AJ10" i="20"/>
  <c r="AJ14" i="12"/>
  <c r="AJ10" i="32"/>
  <c r="AJ60" i="18"/>
  <c r="AJ47" i="30"/>
  <c r="AJ7" i="20"/>
  <c r="AJ31" i="30"/>
  <c r="AJ83" i="32"/>
  <c r="J54" i="25"/>
  <c r="J149" i="16"/>
  <c r="J66" i="10"/>
  <c r="J118" i="26"/>
  <c r="AJ67" i="15"/>
  <c r="AJ22" i="3"/>
  <c r="AJ33" i="12"/>
  <c r="AJ87" i="27"/>
  <c r="AJ22" i="2"/>
  <c r="AJ182" i="9"/>
  <c r="AJ69" i="32"/>
  <c r="J40" i="6"/>
  <c r="AJ18" i="32"/>
  <c r="AJ151" i="12"/>
  <c r="AJ78" i="32"/>
  <c r="J143" i="3"/>
  <c r="AJ44" i="29"/>
  <c r="J66" i="31"/>
  <c r="J155" i="1"/>
  <c r="AJ86" i="3"/>
  <c r="AJ43" i="2"/>
  <c r="J38" i="27"/>
  <c r="AJ64" i="10"/>
  <c r="AJ8" i="4"/>
  <c r="AJ163" i="31"/>
  <c r="AJ118" i="2"/>
  <c r="AJ126" i="9"/>
  <c r="AJ137" i="17"/>
  <c r="AJ149" i="5"/>
  <c r="J15" i="21"/>
  <c r="J19" i="11"/>
  <c r="J143" i="6"/>
  <c r="J92" i="24"/>
  <c r="AJ136" i="3"/>
  <c r="AJ31" i="26"/>
  <c r="AJ34" i="33"/>
  <c r="AJ37" i="31"/>
  <c r="AJ52" i="10"/>
  <c r="AJ98" i="2"/>
  <c r="AJ63" i="3"/>
  <c r="J172" i="15"/>
  <c r="AJ129" i="27"/>
  <c r="AJ143"/>
  <c r="J74" i="6"/>
  <c r="AJ52" i="1"/>
  <c r="AJ173" i="31"/>
  <c r="AJ50" i="16"/>
  <c r="AJ13" i="6"/>
  <c r="AJ124" i="16"/>
  <c r="J120"/>
  <c r="J154" i="6"/>
  <c r="J131" i="19"/>
  <c r="AJ85" i="31"/>
  <c r="J49" i="22"/>
  <c r="AJ159" i="28"/>
  <c r="AJ166" i="21"/>
  <c r="AJ22" i="1"/>
  <c r="AJ132" i="6"/>
  <c r="AJ98" i="29"/>
  <c r="AJ68" i="27"/>
  <c r="AJ92" i="31"/>
  <c r="AJ141" i="19"/>
  <c r="AJ13" i="31"/>
  <c r="AJ96" i="33"/>
  <c r="AJ114" i="11"/>
  <c r="AJ97" i="21"/>
  <c r="J155" i="3"/>
  <c r="AJ65" i="4"/>
  <c r="AJ162" i="17"/>
  <c r="AJ16" i="4"/>
  <c r="AJ85" i="15"/>
  <c r="AJ116" i="11"/>
  <c r="AJ171" i="21"/>
  <c r="AJ18" i="31"/>
  <c r="J177" i="5"/>
  <c r="AJ72" i="19"/>
  <c r="AJ160" i="15"/>
  <c r="AJ41" i="7"/>
  <c r="AJ79" i="16"/>
  <c r="AJ7" i="22"/>
  <c r="AJ51" i="31"/>
  <c r="AJ86" i="1"/>
  <c r="AJ59" i="3"/>
  <c r="AJ23" i="10"/>
  <c r="J176" i="31"/>
  <c r="AJ28" i="19"/>
  <c r="AJ3" i="18"/>
  <c r="AJ53" i="3"/>
  <c r="AJ8" i="16"/>
  <c r="AJ129" i="20"/>
  <c r="AJ7" i="30"/>
  <c r="AJ57" i="15"/>
  <c r="AJ77" i="9"/>
  <c r="J20" i="11"/>
  <c r="AJ146" i="31"/>
  <c r="AJ116"/>
  <c r="AJ130" i="32"/>
  <c r="J65" i="27"/>
  <c r="AJ163" i="33"/>
  <c r="AJ7" i="29"/>
  <c r="J75" i="7"/>
  <c r="AJ159" i="1"/>
  <c r="J139"/>
  <c r="AJ144" i="12"/>
  <c r="AJ53" i="16"/>
  <c r="AJ128" i="18"/>
  <c r="AJ177" i="32"/>
  <c r="AJ121" i="1"/>
  <c r="AJ170" i="30"/>
  <c r="AJ41" i="16"/>
  <c r="AJ57" i="33"/>
  <c r="AJ43" i="3"/>
  <c r="AJ88"/>
  <c r="AJ59" i="30"/>
  <c r="J125" i="1"/>
  <c r="J133" i="7"/>
  <c r="AJ148" i="15"/>
  <c r="AJ109" i="3"/>
  <c r="AJ69"/>
  <c r="AJ89" i="11"/>
  <c r="AJ72" i="6"/>
  <c r="AJ164" i="23"/>
  <c r="AJ44" i="22"/>
  <c r="AJ63"/>
  <c r="AJ113" i="26"/>
  <c r="AJ16" i="3"/>
  <c r="AJ68" i="16"/>
  <c r="AJ120" i="10"/>
  <c r="AJ147" i="27"/>
  <c r="AJ45" i="9"/>
  <c r="AJ115" i="27"/>
  <c r="AJ17" i="10"/>
  <c r="AJ47" i="21"/>
  <c r="AJ150" i="11"/>
  <c r="J139" i="22"/>
  <c r="AJ10" i="4"/>
  <c r="AJ150" i="16"/>
  <c r="AJ83" i="1"/>
  <c r="AJ62" i="18"/>
  <c r="AJ166" i="6"/>
  <c r="J141" i="32"/>
  <c r="AJ185" i="16"/>
  <c r="AJ109" i="27"/>
  <c r="AJ48" i="5"/>
  <c r="J139" i="19"/>
  <c r="AJ96" i="3"/>
  <c r="AJ69" i="21"/>
  <c r="AJ144" i="1"/>
  <c r="AJ69" i="11"/>
  <c r="AJ127" i="29"/>
  <c r="AJ63" i="5"/>
  <c r="AJ60" i="24"/>
  <c r="AJ67" i="5"/>
  <c r="AJ94" i="4"/>
  <c r="AJ123" i="11"/>
  <c r="AJ53" i="30"/>
  <c r="AJ36" i="31"/>
  <c r="AJ163" i="11"/>
  <c r="AJ23" i="19"/>
  <c r="AJ107" i="16"/>
  <c r="AJ138"/>
  <c r="J93" i="24"/>
  <c r="J39" i="6"/>
  <c r="AJ167" i="11"/>
  <c r="AJ106" i="10"/>
  <c r="AJ151" i="30"/>
  <c r="AJ54" i="31"/>
  <c r="J158"/>
  <c r="AJ8" i="6"/>
  <c r="J181" i="11"/>
  <c r="AJ53" i="7"/>
  <c r="AJ40" i="17"/>
  <c r="AJ176" i="1"/>
  <c r="AJ119" i="16"/>
  <c r="AJ17" i="20"/>
  <c r="AJ57" i="11"/>
  <c r="AJ176" i="32"/>
  <c r="AJ17" i="31"/>
  <c r="AJ158" i="15"/>
  <c r="J6" i="11"/>
  <c r="AJ172" i="17"/>
  <c r="AJ116" i="15"/>
  <c r="J178" i="7"/>
  <c r="AJ108" i="30"/>
  <c r="J31" i="31"/>
  <c r="AJ134" i="1"/>
  <c r="AJ58" i="4"/>
  <c r="AJ111" i="5"/>
  <c r="AJ87" i="9"/>
  <c r="AJ8" i="5"/>
  <c r="AJ38" i="15"/>
  <c r="AJ19" i="27"/>
  <c r="AJ83" i="23"/>
  <c r="AJ32" i="17"/>
  <c r="AJ125" i="4"/>
  <c r="AJ116" i="12"/>
  <c r="J80" i="31"/>
  <c r="AJ46" i="17"/>
  <c r="AJ134" i="33"/>
  <c r="AJ114" i="30"/>
  <c r="AJ93" i="23"/>
  <c r="AJ110" i="11"/>
  <c r="AJ69" i="6"/>
  <c r="AJ76" i="16"/>
  <c r="AJ27" i="11"/>
  <c r="AJ177" i="16"/>
  <c r="AJ131" i="11"/>
  <c r="AJ119" i="1"/>
  <c r="AJ147" i="3"/>
  <c r="J63" i="5"/>
  <c r="J119" i="9"/>
  <c r="AJ113" i="5"/>
  <c r="AJ41" i="33"/>
  <c r="J133" i="19"/>
  <c r="AJ169" i="22"/>
  <c r="AJ133" i="23"/>
  <c r="AJ130" i="11"/>
  <c r="AJ113"/>
  <c r="AJ113" i="32"/>
  <c r="AJ7" i="17"/>
  <c r="AJ87" i="31"/>
  <c r="AJ14" i="32"/>
  <c r="AJ181" i="9"/>
  <c r="AJ8" i="22"/>
  <c r="AJ24" i="20"/>
  <c r="AJ162" i="32"/>
  <c r="AJ185" i="11"/>
  <c r="AJ79" i="15"/>
  <c r="AJ83" i="33"/>
  <c r="AJ117" i="21"/>
  <c r="AJ151" i="22"/>
  <c r="AJ141" i="31"/>
  <c r="AJ168" i="20"/>
  <c r="AJ137" i="24"/>
  <c r="AJ77" i="15"/>
  <c r="AJ5" i="29"/>
  <c r="AJ77" i="5"/>
  <c r="J153" i="1"/>
  <c r="AJ153" i="9"/>
  <c r="J130" i="3"/>
  <c r="AJ78" i="29"/>
  <c r="AJ40"/>
  <c r="AJ8" i="11"/>
  <c r="AJ42" i="33"/>
  <c r="J86" i="29"/>
  <c r="AJ175" i="19"/>
  <c r="AJ4" i="17"/>
  <c r="AJ10" i="6"/>
  <c r="J29" i="5"/>
  <c r="AJ64" i="7"/>
  <c r="AJ183" i="11"/>
  <c r="AJ25" i="4"/>
  <c r="AJ173" i="16"/>
  <c r="AJ148" i="18"/>
  <c r="AJ89" i="20"/>
  <c r="AJ161" i="22"/>
  <c r="J113" i="1"/>
  <c r="AJ150" i="26"/>
  <c r="AJ156" i="31"/>
  <c r="AJ102" i="19"/>
  <c r="AJ86" i="15"/>
  <c r="J106" i="6"/>
  <c r="AJ6"/>
  <c r="AJ22" i="30"/>
  <c r="J147" i="6"/>
  <c r="AJ161" i="11"/>
  <c r="AJ183" i="28"/>
  <c r="J61" i="19"/>
  <c r="AJ75" i="29"/>
  <c r="AJ170" i="7"/>
  <c r="AJ40" i="3"/>
  <c r="AJ65" i="32"/>
  <c r="AJ169" i="15"/>
  <c r="AJ45" i="26"/>
  <c r="AJ51" i="21"/>
  <c r="AJ142" i="15"/>
  <c r="AJ101" i="10"/>
  <c r="AJ62" i="7"/>
  <c r="J56" i="10"/>
  <c r="J155" i="23"/>
  <c r="AJ58" i="7"/>
  <c r="J122" i="16"/>
  <c r="AJ80" i="23"/>
  <c r="J73" i="12"/>
  <c r="J99" i="19"/>
  <c r="AJ3" i="32"/>
  <c r="AJ156" i="17"/>
  <c r="AJ90" i="18"/>
  <c r="AJ138"/>
  <c r="AJ48" i="11"/>
  <c r="AJ153" i="17"/>
  <c r="J153" i="30"/>
  <c r="AJ143" i="23"/>
  <c r="AJ87" i="1"/>
  <c r="J51" i="32"/>
  <c r="AJ92" i="9"/>
  <c r="AJ5" i="1"/>
  <c r="AJ114" i="31"/>
  <c r="J11" i="22"/>
  <c r="AJ23" i="32"/>
  <c r="AJ62" i="5"/>
  <c r="AJ123" i="10"/>
  <c r="AJ152" i="2"/>
  <c r="AJ128" i="12"/>
  <c r="AJ184" i="19"/>
  <c r="J56" i="9"/>
  <c r="J47" i="29"/>
  <c r="J96" i="30"/>
  <c r="J135" i="25"/>
  <c r="J142" i="18"/>
  <c r="J179" i="30"/>
  <c r="J20" i="32"/>
  <c r="AJ34" i="20"/>
  <c r="AJ84" i="24"/>
  <c r="J150" i="33"/>
  <c r="J109" i="19"/>
  <c r="J33" i="32"/>
  <c r="J185" i="30"/>
  <c r="J39" i="21"/>
  <c r="AJ118" i="18"/>
  <c r="J125" i="23"/>
  <c r="AJ121" i="2"/>
  <c r="J45" i="1"/>
  <c r="AJ150" i="4"/>
  <c r="AJ28" i="2"/>
  <c r="AJ141"/>
  <c r="J56" i="19"/>
  <c r="J121" i="32"/>
  <c r="J76" i="20"/>
  <c r="J176" i="27"/>
  <c r="AJ150" i="22"/>
  <c r="AJ178" i="4"/>
  <c r="AJ48" i="19"/>
  <c r="AJ159" i="2"/>
  <c r="AJ110" i="19"/>
  <c r="AJ85" i="27"/>
  <c r="AJ59" i="23"/>
  <c r="J154" i="17"/>
  <c r="AJ5" i="33"/>
  <c r="AJ72" i="4"/>
  <c r="AJ79" i="29"/>
  <c r="AJ179" i="32"/>
  <c r="AJ78" i="17"/>
  <c r="AJ129" i="5"/>
  <c r="AJ140" i="12"/>
  <c r="AJ125" i="22"/>
  <c r="AJ174" i="10"/>
  <c r="AJ44" i="26"/>
  <c r="AJ76" i="18"/>
  <c r="AJ114" i="32"/>
  <c r="J96" i="5"/>
  <c r="AJ83" i="28"/>
  <c r="AJ94" i="9"/>
  <c r="AJ79" i="19"/>
  <c r="AJ103" i="32"/>
  <c r="AJ60" i="23"/>
  <c r="AJ163" i="18"/>
  <c r="AJ95" i="2"/>
  <c r="AJ34" i="10"/>
  <c r="AJ38" i="33"/>
  <c r="AJ20" i="12"/>
  <c r="AJ35" i="23"/>
  <c r="AJ14" i="16"/>
  <c r="AJ117" i="1"/>
  <c r="AJ132" i="17"/>
  <c r="AJ3" i="15"/>
  <c r="AJ39" i="30"/>
  <c r="J49" i="6"/>
  <c r="AJ54" i="2"/>
  <c r="AJ42" i="9"/>
  <c r="AJ16" i="12"/>
  <c r="AJ132" i="16"/>
  <c r="AJ109" i="26"/>
  <c r="AJ108" i="15"/>
  <c r="AJ92" i="1"/>
  <c r="AJ13" i="32"/>
  <c r="J173" i="19"/>
  <c r="J79" i="33"/>
  <c r="AJ55" i="19"/>
  <c r="AJ73" i="27"/>
  <c r="AJ106" i="9"/>
  <c r="AJ109" i="23"/>
  <c r="AJ98" i="3"/>
  <c r="AJ89" i="27"/>
  <c r="AJ150" i="10"/>
  <c r="AJ156" i="33"/>
  <c r="AJ87" i="17"/>
  <c r="AJ34"/>
  <c r="AJ135" i="33"/>
  <c r="AJ149" i="17"/>
  <c r="AJ75" i="20"/>
  <c r="AJ64" i="16"/>
  <c r="AJ131" i="21"/>
  <c r="AJ155" i="30"/>
  <c r="AJ5" i="2"/>
  <c r="AJ78" i="24"/>
  <c r="J114" i="6"/>
  <c r="AJ55" i="23"/>
  <c r="AJ144"/>
  <c r="AJ19" i="3"/>
  <c r="AJ95" i="6"/>
  <c r="J81" i="30"/>
  <c r="AJ123" i="17"/>
  <c r="AJ158" i="5"/>
  <c r="AJ104" i="15"/>
  <c r="AJ118" i="9"/>
  <c r="AJ133" i="30"/>
  <c r="AJ20" i="15"/>
  <c r="AJ68" i="3"/>
  <c r="AJ143" i="31"/>
  <c r="J162" i="33"/>
  <c r="AJ11" i="26"/>
  <c r="AJ41"/>
  <c r="AJ72" i="7"/>
  <c r="AJ54"/>
  <c r="AJ102" i="11"/>
  <c r="AJ131" i="31"/>
  <c r="AJ179" i="11"/>
  <c r="AJ23" i="31"/>
  <c r="AJ179" i="19"/>
  <c r="AJ30" i="18"/>
  <c r="AJ99" i="21"/>
  <c r="AJ3" i="6"/>
  <c r="AJ13" i="11"/>
  <c r="AJ57" i="22"/>
  <c r="AJ170" i="16"/>
  <c r="J60" i="19"/>
  <c r="AJ35" i="15"/>
  <c r="AJ35" i="30"/>
  <c r="AJ66" i="32"/>
  <c r="AJ68" i="11"/>
  <c r="AJ93" i="32"/>
  <c r="AJ109" i="9"/>
  <c r="AJ71" i="3"/>
  <c r="J150" i="24"/>
  <c r="AJ137" i="19"/>
  <c r="AJ150" i="31"/>
  <c r="AJ87" i="6"/>
  <c r="AJ145" i="19"/>
  <c r="AJ55" i="11"/>
  <c r="AJ167" i="6"/>
  <c r="AJ99" i="23"/>
  <c r="AJ155" i="31"/>
  <c r="AJ126" i="10"/>
  <c r="AJ28" i="32"/>
  <c r="AJ4" i="7"/>
  <c r="AJ106" i="16"/>
  <c r="AJ76" i="22"/>
  <c r="AJ81" i="33"/>
  <c r="AJ90" i="6"/>
  <c r="AJ60" i="31"/>
  <c r="AJ160" i="11"/>
  <c r="AJ106" i="27"/>
  <c r="AJ131" i="1"/>
  <c r="AJ53" i="6"/>
  <c r="AJ56" i="11"/>
  <c r="AJ185" i="15"/>
  <c r="AJ135" i="10"/>
  <c r="AJ116" i="6"/>
  <c r="J52" i="19"/>
  <c r="AJ184" i="32"/>
  <c r="AJ33" i="31"/>
  <c r="AJ90" i="30"/>
  <c r="AJ173" i="19"/>
  <c r="AJ125" i="17"/>
  <c r="AJ120" i="21"/>
  <c r="AJ18" i="1"/>
  <c r="AJ57" i="29"/>
  <c r="AJ47" i="31"/>
  <c r="AJ77" i="11"/>
  <c r="AJ97" i="3"/>
  <c r="AJ156" i="1"/>
  <c r="AJ6" i="21"/>
  <c r="AJ156" i="10"/>
  <c r="AJ140" i="9"/>
  <c r="J180" i="32"/>
  <c r="AJ19" i="24"/>
  <c r="AJ61" i="2"/>
  <c r="AJ38" i="27"/>
  <c r="AJ94" i="18"/>
  <c r="J174" i="31"/>
  <c r="AJ42" i="20"/>
  <c r="AJ22" i="33"/>
  <c r="AJ4" i="16"/>
  <c r="AJ159" i="10"/>
  <c r="J66" i="30"/>
  <c r="J171" i="17"/>
  <c r="AJ69" i="27"/>
  <c r="AJ168" i="29"/>
  <c r="AJ109" i="20"/>
  <c r="AJ146" i="5"/>
  <c r="AJ85" i="6"/>
  <c r="AJ150" i="30"/>
  <c r="AJ176" i="16"/>
  <c r="AJ129" i="11"/>
  <c r="AJ73" i="16"/>
  <c r="J96" i="1"/>
  <c r="AJ38" i="3"/>
  <c r="J132" i="17"/>
  <c r="AJ31" i="4"/>
  <c r="AJ71" i="23"/>
  <c r="AJ45" i="2"/>
  <c r="AJ48" i="7"/>
  <c r="AJ6" i="26"/>
  <c r="AJ17" i="9"/>
  <c r="AJ10" i="5"/>
  <c r="J82" i="23"/>
  <c r="AJ117" i="10"/>
  <c r="AJ45" i="5"/>
  <c r="AJ4" i="9"/>
  <c r="AJ64" i="30"/>
  <c r="AJ51" i="6"/>
  <c r="AJ153" i="31"/>
  <c r="AJ97" i="10"/>
  <c r="AJ152" i="23"/>
  <c r="AJ168" i="1"/>
  <c r="AJ17" i="3"/>
  <c r="AJ16" i="17"/>
  <c r="AJ129" i="33"/>
  <c r="AJ24" i="5"/>
  <c r="AJ151" i="7"/>
  <c r="AJ123" i="16"/>
  <c r="AJ91" i="11"/>
  <c r="AJ113" i="15"/>
  <c r="J144" i="33"/>
  <c r="AJ15" i="6"/>
  <c r="AJ106" i="11"/>
  <c r="AJ92" i="32"/>
  <c r="AJ151" i="3"/>
  <c r="AJ176" i="27"/>
  <c r="AJ44" i="31"/>
  <c r="AJ169" i="16"/>
  <c r="AJ23" i="3"/>
  <c r="AJ138" i="27"/>
  <c r="AJ92" i="15"/>
  <c r="AJ171" i="23"/>
  <c r="AJ88" i="9"/>
  <c r="AJ36" i="30"/>
  <c r="AJ176" i="4"/>
  <c r="AJ104" i="32"/>
  <c r="AJ159" i="18"/>
  <c r="AJ15" i="5"/>
  <c r="AJ78" i="3"/>
  <c r="AJ56" i="26"/>
  <c r="AJ82" i="32"/>
  <c r="AJ18" i="29"/>
  <c r="AJ19" i="2"/>
  <c r="AJ25" i="21"/>
  <c r="AJ77" i="17"/>
  <c r="AJ99" i="28"/>
  <c r="AJ98" i="12"/>
  <c r="AJ49" i="1"/>
  <c r="AJ49" i="16"/>
  <c r="J107" i="31"/>
  <c r="AJ171" i="32"/>
  <c r="J142" i="27"/>
  <c r="AJ93" i="9"/>
  <c r="AJ30" i="23"/>
  <c r="AJ4" i="30"/>
  <c r="AJ140" i="3"/>
  <c r="AJ108" i="33"/>
  <c r="AJ87"/>
  <c r="AJ94" i="12"/>
  <c r="AJ72" i="27"/>
  <c r="AJ88" i="31"/>
  <c r="AJ103" i="30"/>
  <c r="AJ124" i="22"/>
  <c r="J88" i="12"/>
  <c r="J60" i="21"/>
  <c r="J176" i="25"/>
  <c r="AJ178" i="12"/>
  <c r="J179" i="3"/>
  <c r="AJ182" i="21"/>
  <c r="J94" i="24"/>
  <c r="J130" i="11"/>
  <c r="J167" i="20"/>
  <c r="J151" i="15"/>
  <c r="AJ171" i="2"/>
  <c r="AJ147" i="24"/>
  <c r="J146" i="17"/>
  <c r="AJ119" i="10"/>
  <c r="J139" i="3"/>
  <c r="J136" i="32"/>
  <c r="J51" i="9"/>
  <c r="J79" i="23"/>
  <c r="AJ157" i="29"/>
  <c r="J71" i="30"/>
  <c r="J114" i="27"/>
  <c r="AJ155" i="10"/>
  <c r="AJ12" i="27"/>
  <c r="J67" i="9"/>
  <c r="AJ125" i="10"/>
  <c r="AJ46" i="5"/>
  <c r="J173" i="7"/>
  <c r="AJ121" i="26"/>
  <c r="AJ164" i="4"/>
  <c r="AJ169" i="3"/>
  <c r="AJ152" i="10"/>
  <c r="AJ67" i="22"/>
  <c r="J154" i="16"/>
  <c r="AJ95" i="23"/>
  <c r="AJ59" i="27"/>
  <c r="AJ11" i="7"/>
  <c r="AJ158" i="33"/>
  <c r="AJ156" i="24"/>
  <c r="AJ100" i="19"/>
  <c r="AJ124"/>
  <c r="AJ66" i="4"/>
  <c r="AJ89" i="1"/>
  <c r="AJ120" i="6"/>
  <c r="AJ111" i="31"/>
  <c r="AJ59" i="21"/>
  <c r="AJ41" i="27"/>
  <c r="AJ123" i="1"/>
  <c r="J66" i="6"/>
  <c r="AJ23" i="4"/>
  <c r="AJ163" i="5"/>
  <c r="AJ132" i="19"/>
  <c r="AJ37" i="1"/>
  <c r="AJ161" i="19"/>
  <c r="AJ185" i="5"/>
  <c r="AJ3" i="24"/>
  <c r="AJ158" i="19"/>
  <c r="AJ183"/>
  <c r="J116" i="31"/>
  <c r="AJ23" i="17"/>
  <c r="AJ95" i="20"/>
  <c r="J112" i="27"/>
  <c r="AJ73" i="15"/>
  <c r="J172" i="3"/>
  <c r="AJ96" i="5"/>
  <c r="AJ11" i="1"/>
  <c r="AJ144" i="17"/>
  <c r="AJ132" i="23"/>
  <c r="AJ70" i="18"/>
  <c r="AJ71" i="17"/>
  <c r="AJ181" i="27"/>
  <c r="J174" i="18"/>
  <c r="AJ181" i="15"/>
  <c r="J16" i="1"/>
  <c r="AJ65" i="17"/>
  <c r="J26" i="9"/>
  <c r="J80" i="30"/>
  <c r="AJ71" i="2"/>
  <c r="AJ76" i="32"/>
  <c r="AJ31" i="15"/>
  <c r="AJ14" i="4"/>
  <c r="AJ178" i="19"/>
  <c r="AJ10" i="11"/>
  <c r="AJ66" i="5"/>
  <c r="AJ139" i="16"/>
  <c r="J141" i="17"/>
  <c r="AJ51" i="27"/>
  <c r="AJ93" i="6"/>
  <c r="AJ158" i="27"/>
  <c r="AJ24" i="15"/>
  <c r="AJ51" i="5"/>
  <c r="AJ120" i="15"/>
  <c r="AJ48"/>
  <c r="AJ54" i="16"/>
  <c r="AJ63" i="30"/>
  <c r="AJ35" i="26"/>
  <c r="J4" i="17"/>
  <c r="J136" i="3"/>
  <c r="J134" i="4"/>
  <c r="J128" i="30"/>
  <c r="J19" i="3"/>
  <c r="J74" i="22"/>
  <c r="J35" i="10"/>
  <c r="J136" i="26"/>
  <c r="J9" i="23"/>
  <c r="AJ174" i="24"/>
  <c r="J91" i="16"/>
  <c r="J25" i="21"/>
  <c r="J99" i="9"/>
  <c r="J141" i="12"/>
  <c r="J131" i="2"/>
  <c r="J78" i="6"/>
  <c r="J125" i="32"/>
  <c r="J117"/>
  <c r="AJ98" i="26"/>
  <c r="AJ53" i="28"/>
  <c r="J47" i="10"/>
  <c r="J14" i="16"/>
  <c r="J9" i="12"/>
  <c r="AJ183" i="18"/>
  <c r="AJ62" i="29"/>
  <c r="AJ105" i="26"/>
  <c r="J44" i="17"/>
  <c r="AJ146" i="7"/>
  <c r="AJ179" i="1"/>
  <c r="AJ138" i="3"/>
  <c r="AJ54" i="6"/>
  <c r="AJ147" i="12"/>
  <c r="AJ100" i="20"/>
  <c r="AJ167" i="23"/>
  <c r="J19" i="17"/>
  <c r="AJ155" i="21"/>
  <c r="J20" i="24"/>
  <c r="J43" i="7"/>
  <c r="AJ44" i="10"/>
  <c r="AJ157" i="26"/>
  <c r="J42" i="16"/>
  <c r="J168" i="30"/>
  <c r="AJ21" i="29"/>
  <c r="AJ124" i="24"/>
  <c r="J153" i="5"/>
  <c r="AJ18" i="28"/>
  <c r="AJ88" i="20"/>
  <c r="J15"/>
  <c r="J132" i="5"/>
  <c r="AJ55" i="12"/>
  <c r="AJ181" i="31"/>
  <c r="AJ43" i="11"/>
  <c r="J26" i="31"/>
  <c r="AJ61" i="29"/>
  <c r="AJ179" i="28"/>
  <c r="AJ100" i="30"/>
  <c r="J98" i="1"/>
  <c r="AJ180" i="17"/>
  <c r="AJ179" i="20"/>
  <c r="J87" i="17"/>
  <c r="AJ184" i="1"/>
  <c r="J129" i="11"/>
  <c r="AJ164" i="31"/>
  <c r="AJ139" i="1"/>
  <c r="J39" i="10"/>
  <c r="AJ7" i="26"/>
  <c r="J121" i="27"/>
  <c r="AJ114" i="22"/>
  <c r="AJ156" i="4"/>
  <c r="J30" i="2"/>
  <c r="J146" i="4"/>
  <c r="AJ35" i="11"/>
  <c r="AJ65" i="23"/>
  <c r="AJ120" i="1"/>
  <c r="AJ110" i="3"/>
  <c r="J87" i="32"/>
  <c r="J107" i="30"/>
  <c r="AJ125" i="26"/>
  <c r="AJ171"/>
  <c r="AJ94"/>
  <c r="AJ126" i="33"/>
  <c r="AJ142" i="20"/>
  <c r="J8" i="18"/>
  <c r="AJ67" i="33"/>
  <c r="AJ131" i="26"/>
  <c r="AJ51" i="20"/>
  <c r="AJ38" i="2"/>
  <c r="AJ11" i="11"/>
  <c r="AJ76" i="3"/>
  <c r="AJ157" i="31"/>
  <c r="AJ35" i="7"/>
  <c r="J26" i="30"/>
  <c r="J76" i="26"/>
  <c r="J144" i="5"/>
  <c r="J60" i="6"/>
  <c r="J78" i="25"/>
  <c r="AJ93" i="10"/>
  <c r="AJ4" i="24"/>
  <c r="J35" i="7"/>
  <c r="J40" i="9"/>
  <c r="AJ55" i="5"/>
  <c r="AJ182" i="22"/>
  <c r="AJ27" i="24"/>
  <c r="AJ75" i="9"/>
  <c r="AJ34" i="15"/>
  <c r="AJ84" i="23"/>
  <c r="AJ95" i="27"/>
  <c r="AJ150" i="28"/>
  <c r="J145" i="5"/>
  <c r="AJ26" i="19"/>
  <c r="J169" i="31"/>
  <c r="J128" i="24"/>
  <c r="AJ41" i="30"/>
  <c r="AJ155" i="2"/>
  <c r="AJ80" i="20"/>
  <c r="AJ141" i="16"/>
  <c r="AJ164" i="6"/>
  <c r="AJ6" i="22"/>
  <c r="J142" i="32"/>
  <c r="AJ176" i="7"/>
  <c r="AJ147" i="5"/>
  <c r="AJ7" i="16"/>
  <c r="AJ128" i="11"/>
  <c r="AJ67" i="21"/>
  <c r="AJ135" i="11"/>
  <c r="AJ35" i="31"/>
  <c r="J30" i="22"/>
  <c r="AJ153" i="12"/>
  <c r="AJ175" i="22"/>
  <c r="J26" i="11"/>
  <c r="AJ115" i="2"/>
  <c r="AJ16" i="11"/>
  <c r="AJ179" i="5"/>
  <c r="AJ74" i="23"/>
  <c r="J127" i="32"/>
  <c r="AJ170" i="31"/>
  <c r="AJ67" i="16"/>
  <c r="AJ46" i="22"/>
  <c r="AJ127" i="21"/>
  <c r="AJ171" i="18"/>
  <c r="AJ125" i="3"/>
  <c r="AJ77" i="16"/>
  <c r="AJ50" i="28"/>
  <c r="J52" i="23"/>
  <c r="AJ133" i="17"/>
  <c r="J11" i="33"/>
  <c r="J43" i="3"/>
  <c r="J49" i="11"/>
  <c r="J88" i="30"/>
  <c r="AJ85" i="12"/>
  <c r="J59" i="6"/>
  <c r="AJ101" i="3"/>
  <c r="AJ88" i="15"/>
  <c r="AJ81" i="1"/>
  <c r="AJ12" i="7"/>
  <c r="AJ121" i="9"/>
  <c r="AJ27" i="1"/>
  <c r="AJ97"/>
  <c r="AJ63" i="6"/>
  <c r="J28" i="3"/>
  <c r="J64" i="27"/>
  <c r="J180" i="30"/>
  <c r="AJ82" i="3"/>
  <c r="AJ157" i="6"/>
  <c r="AJ100" i="32"/>
  <c r="AJ98" i="20"/>
  <c r="J143" i="4"/>
  <c r="J16" i="30"/>
  <c r="J60" i="23"/>
  <c r="AJ93" i="19"/>
  <c r="J42" i="10"/>
  <c r="AJ88" i="16"/>
  <c r="AJ80" i="28"/>
  <c r="AJ151" i="16"/>
  <c r="AJ104" i="6"/>
  <c r="AJ51" i="1"/>
  <c r="AJ147" i="18"/>
  <c r="AJ11" i="17"/>
  <c r="AJ151" i="33"/>
  <c r="AJ91" i="22"/>
  <c r="AJ59" i="7"/>
  <c r="J26" i="17"/>
  <c r="J137" i="1"/>
  <c r="AJ154" i="16"/>
  <c r="AJ56" i="32"/>
  <c r="AJ13" i="9"/>
  <c r="AJ83" i="27"/>
  <c r="AJ116" i="3"/>
  <c r="AJ25" i="15"/>
  <c r="AJ20" i="1"/>
  <c r="AJ129" i="17"/>
  <c r="J3" i="27"/>
  <c r="J21" i="20"/>
  <c r="AJ22" i="26"/>
  <c r="J109" i="23"/>
  <c r="AJ9" i="15"/>
  <c r="J110" i="16"/>
  <c r="AJ149" i="10"/>
  <c r="AJ38" i="6"/>
  <c r="AJ95" i="9"/>
  <c r="AJ31" i="17"/>
  <c r="AJ173" i="5"/>
  <c r="AJ41" i="31"/>
  <c r="AJ165" i="27"/>
  <c r="AJ82" i="31"/>
  <c r="AJ107" i="21"/>
  <c r="AJ140" i="17"/>
  <c r="J75"/>
  <c r="J110" i="33"/>
  <c r="AJ112" i="21"/>
  <c r="AJ90" i="32"/>
  <c r="AJ174" i="23"/>
  <c r="AJ166" i="10"/>
  <c r="AJ57" i="1"/>
  <c r="AJ99" i="18"/>
  <c r="AJ99" i="19"/>
  <c r="AJ6" i="1"/>
  <c r="AJ23" i="7"/>
  <c r="AJ20" i="11"/>
  <c r="AJ85" i="10"/>
  <c r="AJ142" i="24"/>
  <c r="AJ16" i="18"/>
  <c r="AJ64" i="17"/>
  <c r="AJ42" i="6"/>
  <c r="AJ71" i="21"/>
  <c r="AJ126" i="17"/>
  <c r="AJ115" i="6"/>
  <c r="AJ185" i="19"/>
  <c r="AJ160" i="18"/>
  <c r="AJ57" i="9"/>
  <c r="AJ127" i="19"/>
  <c r="AJ29" i="16"/>
  <c r="AJ15" i="22"/>
  <c r="AJ142" i="27"/>
  <c r="AJ63" i="31"/>
  <c r="AJ125" i="24"/>
  <c r="J77" i="33"/>
  <c r="J101" i="31"/>
  <c r="AJ54" i="10"/>
  <c r="AJ101" i="22"/>
  <c r="AJ86" i="29"/>
  <c r="AJ166"/>
  <c r="AJ75" i="4"/>
  <c r="AJ41" i="11"/>
  <c r="AJ85" i="7"/>
  <c r="AJ112" i="19"/>
  <c r="AJ28" i="1"/>
  <c r="AJ31" i="33"/>
  <c r="AJ122" i="6"/>
  <c r="AJ109" i="1"/>
  <c r="AJ122" i="11"/>
  <c r="AJ94" i="20"/>
  <c r="AJ105" i="3"/>
  <c r="AJ70" i="6"/>
  <c r="AJ21" i="27"/>
  <c r="AJ72" i="28"/>
  <c r="AJ122"/>
  <c r="AJ163" i="3"/>
  <c r="AJ125" i="29"/>
  <c r="AJ166" i="7"/>
  <c r="J60" i="22"/>
  <c r="AJ172" i="19"/>
  <c r="AJ24" i="27"/>
  <c r="AJ173" i="22"/>
  <c r="AJ61" i="16"/>
  <c r="AJ184" i="9"/>
  <c r="AJ115" i="19"/>
  <c r="AJ31" i="16"/>
  <c r="AJ143" i="6"/>
  <c r="AJ128" i="33"/>
  <c r="AJ22" i="11"/>
  <c r="AJ178" i="22"/>
  <c r="AJ132" i="32"/>
  <c r="AJ95"/>
  <c r="AJ182" i="31"/>
  <c r="AJ138" i="10"/>
  <c r="AJ80" i="22"/>
  <c r="AJ114" i="6"/>
  <c r="AJ38" i="9"/>
  <c r="J135" i="33"/>
  <c r="AJ132" i="12"/>
  <c r="AJ92" i="30"/>
  <c r="J57"/>
  <c r="AJ95" i="12"/>
  <c r="AJ66" i="11"/>
  <c r="AJ129" i="15"/>
  <c r="AJ121" i="27"/>
  <c r="AJ14" i="31"/>
  <c r="J92" i="25"/>
  <c r="AJ176" i="9"/>
  <c r="J11" i="5"/>
  <c r="J65" i="28"/>
  <c r="AJ140" i="26"/>
  <c r="AJ174" i="3"/>
  <c r="J11"/>
  <c r="AJ147" i="11"/>
  <c r="AJ50" i="19"/>
  <c r="AJ142" i="21"/>
  <c r="AJ135" i="30"/>
  <c r="AJ49" i="5"/>
  <c r="AJ180" i="11"/>
  <c r="AJ78" i="6"/>
  <c r="AJ68" i="21"/>
  <c r="AJ142" i="22"/>
  <c r="AJ132" i="3"/>
  <c r="AJ115" i="32"/>
  <c r="AJ80" i="10"/>
  <c r="AJ116"/>
  <c r="J93" i="31"/>
  <c r="AJ156" i="16"/>
  <c r="AJ98" i="22"/>
  <c r="AJ66" i="1"/>
  <c r="AJ93"/>
  <c r="AJ82" i="30"/>
  <c r="AJ54" i="22"/>
  <c r="AJ73" i="19"/>
  <c r="AJ10" i="33"/>
  <c r="J58" i="19"/>
  <c r="AJ53" i="17"/>
  <c r="AJ12" i="20"/>
  <c r="AJ119" i="27"/>
  <c r="AJ147" i="10"/>
  <c r="AJ49" i="30"/>
  <c r="AJ61" i="23"/>
  <c r="AJ62" i="17"/>
  <c r="AJ141" i="23"/>
  <c r="AJ81" i="16"/>
  <c r="AJ6" i="30"/>
  <c r="AJ171" i="27"/>
  <c r="AJ65" i="10"/>
  <c r="AJ43" i="32"/>
  <c r="AJ44" i="11"/>
  <c r="J140" i="6"/>
  <c r="AJ47" i="23"/>
  <c r="AJ49" i="32"/>
  <c r="AJ154" i="23"/>
  <c r="AJ152" i="15"/>
  <c r="AJ60" i="21"/>
  <c r="J24" i="16"/>
  <c r="AJ127" i="10"/>
  <c r="AJ22" i="15"/>
  <c r="AJ174" i="31"/>
  <c r="AJ51" i="26"/>
  <c r="J113" i="7"/>
  <c r="AJ174" i="33"/>
  <c r="AJ129" i="23"/>
  <c r="AJ86" i="32"/>
  <c r="AJ140" i="19"/>
  <c r="AJ185" i="3"/>
  <c r="AJ124" i="15"/>
  <c r="J77" i="3"/>
  <c r="AJ157" i="15"/>
  <c r="AJ19" i="22"/>
  <c r="AJ14" i="2"/>
  <c r="AJ118" i="19"/>
  <c r="AJ25" i="31"/>
  <c r="AJ26" i="29"/>
  <c r="AJ10" i="27"/>
  <c r="AJ118" i="16"/>
  <c r="AJ16" i="5"/>
  <c r="AJ30" i="29"/>
  <c r="AJ159" i="27"/>
  <c r="AJ115" i="30"/>
  <c r="AJ72" i="16"/>
  <c r="J86" i="5"/>
  <c r="AJ16" i="22"/>
  <c r="AJ108" i="11"/>
  <c r="AJ103" i="9"/>
  <c r="AJ120" i="30"/>
  <c r="AJ33" i="6"/>
  <c r="AJ137" i="10"/>
  <c r="AJ181" i="18"/>
  <c r="AJ83" i="22"/>
  <c r="AJ14" i="7"/>
  <c r="AJ29" i="30"/>
  <c r="J120" i="3"/>
  <c r="AJ12" i="17"/>
  <c r="AJ66" i="15"/>
  <c r="AJ172" i="12"/>
  <c r="J40" i="5"/>
  <c r="J65" i="15"/>
  <c r="J183"/>
  <c r="J139" i="2"/>
  <c r="J39" i="24"/>
  <c r="J150" i="4"/>
  <c r="J165" i="28"/>
  <c r="J53" i="30"/>
  <c r="J82" i="11"/>
  <c r="J143" i="20"/>
  <c r="AJ109" i="12"/>
  <c r="J8" i="29"/>
  <c r="J53" i="22"/>
  <c r="J40" i="16"/>
  <c r="AJ162" i="2"/>
  <c r="AJ158" i="3"/>
  <c r="J108" i="5"/>
  <c r="J52" i="10"/>
  <c r="J54" i="27"/>
  <c r="J33" i="16"/>
  <c r="J51" i="23"/>
  <c r="J5" i="31"/>
  <c r="J4" i="19"/>
  <c r="AJ61" i="21"/>
  <c r="J166" i="1"/>
  <c r="AJ26" i="24"/>
  <c r="AJ185" i="28"/>
  <c r="AJ33" i="17"/>
  <c r="J169" i="6"/>
  <c r="AJ182" i="15"/>
  <c r="AJ4" i="23"/>
  <c r="AJ169" i="10"/>
  <c r="AJ71" i="31"/>
  <c r="AJ175" i="6"/>
  <c r="AJ140" i="21"/>
  <c r="AJ158" i="26"/>
  <c r="AJ136" i="1"/>
  <c r="J145" i="27"/>
  <c r="AJ35" i="4"/>
  <c r="AJ118" i="10"/>
  <c r="J94" i="7"/>
  <c r="AJ132"/>
  <c r="AJ12" i="3"/>
  <c r="J142" i="30"/>
  <c r="AJ31" i="27"/>
  <c r="AJ18" i="9"/>
  <c r="AJ105" i="22"/>
  <c r="AJ165" i="29"/>
  <c r="AJ180" i="28"/>
  <c r="AJ89" i="12"/>
  <c r="AJ86" i="23"/>
  <c r="AJ184" i="28"/>
  <c r="AJ119" i="31"/>
  <c r="AJ59"/>
  <c r="AJ73" i="28"/>
  <c r="AJ93" i="17"/>
  <c r="AJ158" i="10"/>
  <c r="J57" i="3"/>
  <c r="AJ153" i="10"/>
  <c r="AJ70" i="17"/>
  <c r="J21" i="1"/>
  <c r="AJ31" i="10"/>
  <c r="AJ64" i="15"/>
  <c r="AJ73" i="30"/>
  <c r="AJ9" i="20"/>
  <c r="AJ92" i="7"/>
  <c r="AJ121" i="22"/>
  <c r="AJ4" i="31"/>
  <c r="AJ120" i="4"/>
  <c r="AJ61" i="28"/>
  <c r="J144" i="17"/>
  <c r="AJ117" i="20"/>
  <c r="AJ67" i="31"/>
  <c r="J182" i="23"/>
  <c r="AJ43" i="30"/>
  <c r="AJ52" i="17"/>
  <c r="AJ139" i="31"/>
  <c r="AJ183" i="30"/>
  <c r="AJ89" i="32"/>
  <c r="AJ126" i="2"/>
  <c r="AJ139" i="23"/>
  <c r="AJ104"/>
  <c r="AJ6" i="19"/>
  <c r="J91" i="6"/>
  <c r="AJ77" i="18"/>
  <c r="AJ153" i="3"/>
  <c r="AJ56" i="9"/>
  <c r="AJ161" i="23"/>
  <c r="AJ114" i="5"/>
  <c r="AJ124" i="23"/>
  <c r="AJ167" i="10"/>
  <c r="AJ138" i="20"/>
  <c r="AJ138" i="22"/>
  <c r="AJ159" i="29"/>
  <c r="AJ147" i="7"/>
  <c r="J120" i="9"/>
  <c r="AJ167"/>
  <c r="AJ176" i="30"/>
  <c r="AJ173" i="3"/>
  <c r="J63" i="33"/>
  <c r="AJ174" i="7"/>
  <c r="AJ140" i="1"/>
  <c r="AJ23" i="23"/>
  <c r="AJ72" i="5"/>
  <c r="AJ39" i="11"/>
  <c r="AJ55" i="16"/>
  <c r="AJ15" i="31"/>
  <c r="AJ164" i="16"/>
  <c r="AJ57"/>
  <c r="AJ172" i="15"/>
  <c r="AJ90" i="29"/>
  <c r="AJ118" i="33"/>
  <c r="AJ115" i="17"/>
  <c r="AJ133" i="15"/>
  <c r="AJ12" i="26"/>
  <c r="AJ38" i="22"/>
  <c r="AJ16" i="16"/>
  <c r="AJ32" i="7"/>
  <c r="AJ3" i="30"/>
  <c r="AJ42" i="11"/>
  <c r="AJ159" i="17"/>
  <c r="AJ58" i="18"/>
  <c r="AJ71" i="12"/>
  <c r="AJ116" i="33"/>
  <c r="AJ137" i="16"/>
  <c r="AJ137" i="23"/>
  <c r="AJ144" i="9"/>
  <c r="J39" i="5"/>
  <c r="AJ103" i="17"/>
  <c r="J45" i="27"/>
  <c r="J53" i="32"/>
  <c r="AJ80" i="21"/>
  <c r="AJ80" i="29"/>
  <c r="AJ146" i="23"/>
  <c r="AJ11" i="4"/>
  <c r="AJ110" i="32"/>
  <c r="J30" i="3"/>
  <c r="AJ161" i="10"/>
  <c r="AJ140" i="22"/>
  <c r="AJ31" i="31"/>
  <c r="AJ107" i="3"/>
  <c r="AJ131" i="15"/>
  <c r="AJ12" i="1"/>
  <c r="J112" i="19"/>
  <c r="AJ16" i="26"/>
  <c r="J184" i="6"/>
  <c r="J88" i="15"/>
  <c r="AJ35" i="27"/>
  <c r="AJ168" i="3"/>
  <c r="AJ138" i="9"/>
  <c r="AJ107" i="11"/>
  <c r="AJ117" i="27"/>
  <c r="AJ9" i="22"/>
  <c r="AJ8" i="28"/>
  <c r="AJ26" i="32"/>
  <c r="J132" i="7"/>
  <c r="AJ80" i="31"/>
  <c r="AJ99" i="9"/>
  <c r="AJ22" i="19"/>
  <c r="AJ19" i="15"/>
  <c r="AJ79" i="26"/>
  <c r="AJ76" i="2"/>
  <c r="AJ92" i="11"/>
  <c r="J67" i="16"/>
  <c r="AJ30" i="1"/>
  <c r="J112" i="31"/>
  <c r="AJ44" i="1"/>
  <c r="J94" i="30"/>
  <c r="AJ121" i="29"/>
  <c r="AJ88" i="17"/>
  <c r="AJ136" i="12"/>
  <c r="AJ44" i="15"/>
  <c r="AJ29" i="27"/>
  <c r="AJ84" i="22"/>
  <c r="AJ132" i="31"/>
  <c r="AJ75" i="22"/>
  <c r="AJ113" i="17"/>
  <c r="AJ101" i="21"/>
  <c r="AJ131" i="5"/>
  <c r="AJ70" i="10"/>
  <c r="AJ6" i="9"/>
  <c r="AJ152" i="18"/>
  <c r="AJ139" i="11"/>
  <c r="AJ167" i="27"/>
  <c r="AJ60"/>
  <c r="AJ51" i="11"/>
  <c r="J152" i="23"/>
  <c r="AJ38" i="17"/>
  <c r="AJ60" i="1"/>
  <c r="AJ55" i="15"/>
  <c r="AJ121" i="33"/>
  <c r="AJ61" i="6"/>
  <c r="AJ131" i="16"/>
  <c r="AJ185" i="27"/>
  <c r="AJ142" i="31"/>
  <c r="AJ88" i="6"/>
  <c r="AJ62" i="28"/>
  <c r="AJ151" i="1"/>
  <c r="AJ108" i="20"/>
  <c r="AJ71" i="15"/>
  <c r="AJ26" i="28"/>
  <c r="AJ174" i="30"/>
  <c r="AJ142" i="33"/>
  <c r="AJ47" i="1"/>
  <c r="AJ141" i="29"/>
  <c r="AJ72" i="11"/>
  <c r="AJ177" i="20"/>
  <c r="AJ126" i="11"/>
  <c r="AJ81" i="28"/>
  <c r="J58" i="7"/>
  <c r="AJ129" i="22"/>
  <c r="AJ40" i="27"/>
  <c r="AJ25" i="3"/>
  <c r="AJ155" i="16"/>
  <c r="AJ72" i="30"/>
  <c r="AJ24" i="6"/>
  <c r="AJ7" i="1"/>
  <c r="AJ129"/>
  <c r="AJ82" i="11"/>
  <c r="AJ28" i="23"/>
  <c r="AJ99" i="12"/>
  <c r="AJ50" i="7"/>
  <c r="J77" i="17"/>
  <c r="AJ69"/>
  <c r="AJ50" i="15"/>
  <c r="AJ139" i="10"/>
  <c r="AJ102" i="9"/>
  <c r="AJ145" i="11"/>
  <c r="AJ142" i="10"/>
  <c r="J115" i="7"/>
  <c r="AJ56"/>
  <c r="AJ62" i="11"/>
  <c r="AJ151" i="29"/>
  <c r="J118" i="30"/>
  <c r="AJ111" i="15"/>
  <c r="J80" i="22"/>
  <c r="AJ7" i="15"/>
  <c r="AJ7" i="19"/>
  <c r="AJ42" i="7"/>
  <c r="AJ102" i="22"/>
  <c r="AJ105" i="20"/>
  <c r="AJ90" i="5"/>
  <c r="AJ109" i="31"/>
  <c r="AJ97" i="27"/>
  <c r="AJ86"/>
  <c r="AJ101" i="11"/>
  <c r="AJ8" i="23"/>
  <c r="AJ106" i="5"/>
  <c r="AJ46" i="3"/>
  <c r="AJ48" i="6"/>
  <c r="AJ87" i="19"/>
  <c r="AJ10" i="1"/>
  <c r="AJ177" i="15"/>
  <c r="AJ94" i="10"/>
  <c r="AJ132" i="20"/>
  <c r="AJ104" i="7"/>
  <c r="J130" i="33"/>
  <c r="AJ61" i="19"/>
  <c r="AJ122" i="27"/>
  <c r="AJ124" i="29"/>
  <c r="AJ8" i="9"/>
  <c r="AJ128"/>
  <c r="AJ139"/>
  <c r="J147" i="28"/>
  <c r="J167" i="26"/>
  <c r="J24" i="3"/>
  <c r="AJ76" i="12"/>
  <c r="J15" i="11"/>
  <c r="J108" i="22"/>
  <c r="J153" i="16"/>
  <c r="AJ44" i="7"/>
  <c r="J170" i="11"/>
  <c r="AJ83" i="18"/>
  <c r="AJ6" i="2"/>
  <c r="AJ85" i="21"/>
  <c r="J79" i="29"/>
  <c r="AJ70"/>
  <c r="AJ162" i="10"/>
  <c r="J171" i="19"/>
  <c r="AJ66" i="10"/>
  <c r="AJ58" i="27"/>
  <c r="AJ52"/>
  <c r="J184" i="31"/>
  <c r="AJ119" i="21"/>
  <c r="AJ139" i="20"/>
  <c r="AJ131" i="32"/>
  <c r="J37" i="30"/>
  <c r="AJ157" i="20"/>
  <c r="AJ44" i="33"/>
  <c r="AJ5" i="15"/>
  <c r="J51" i="33"/>
  <c r="J111" i="12"/>
  <c r="J36" i="30"/>
  <c r="AJ15" i="32"/>
  <c r="J158" i="23"/>
  <c r="AJ130" i="30"/>
  <c r="AJ112" i="5"/>
  <c r="AJ132" i="9"/>
  <c r="AJ58" i="31"/>
  <c r="AJ71" i="1"/>
  <c r="J10" i="6"/>
  <c r="AJ44" i="19"/>
  <c r="AJ122" i="32"/>
  <c r="AJ135" i="19"/>
  <c r="J167" i="17"/>
  <c r="AJ17" i="19"/>
  <c r="AJ185" i="18"/>
  <c r="AJ61" i="31"/>
  <c r="J149" i="23"/>
  <c r="AJ184" i="5"/>
  <c r="AJ120" i="11"/>
  <c r="J170" i="17"/>
  <c r="J102" i="11"/>
  <c r="AJ79" i="9"/>
  <c r="AJ5" i="5"/>
  <c r="AJ99" i="6"/>
  <c r="AJ131" i="3"/>
  <c r="J82" i="27"/>
  <c r="AJ79" i="7"/>
  <c r="J113" i="5"/>
  <c r="AJ52" i="9"/>
  <c r="AJ35" i="21"/>
  <c r="AJ41" i="29"/>
  <c r="AJ82" i="22"/>
  <c r="AJ47" i="7"/>
  <c r="AJ145" i="31"/>
  <c r="AJ83" i="7"/>
  <c r="AJ10" i="17"/>
  <c r="AJ113" i="20"/>
  <c r="AJ158" i="16"/>
  <c r="AJ71" i="6"/>
  <c r="AJ170" i="33"/>
  <c r="AJ126" i="28"/>
  <c r="AJ46" i="33"/>
  <c r="AJ183" i="6"/>
  <c r="J84" i="11"/>
  <c r="J158" i="15"/>
  <c r="J173" i="5"/>
  <c r="AJ126" i="18"/>
  <c r="AJ175" i="1"/>
  <c r="AJ97" i="15"/>
  <c r="AJ111" i="12"/>
  <c r="AJ181" i="22"/>
  <c r="AJ135" i="28"/>
  <c r="AJ156"/>
  <c r="AJ128" i="31"/>
  <c r="AJ121" i="15"/>
  <c r="AJ173" i="10"/>
  <c r="AJ57"/>
  <c r="AJ9" i="19"/>
  <c r="AJ116" i="1"/>
  <c r="AJ59" i="32"/>
  <c r="AJ6" i="23"/>
  <c r="AJ15" i="11"/>
  <c r="AJ148"/>
  <c r="AJ76" i="27"/>
  <c r="AJ163"/>
  <c r="AJ70" i="1"/>
  <c r="AJ114" i="28"/>
  <c r="J87" i="1"/>
  <c r="J64" i="6"/>
  <c r="J174" i="10"/>
  <c r="J39" i="15"/>
  <c r="J161" i="16"/>
  <c r="J136" i="4"/>
  <c r="AJ84"/>
  <c r="J10" i="28"/>
  <c r="J114" i="25"/>
  <c r="J152" i="10"/>
  <c r="J94" i="11"/>
  <c r="J93" i="33"/>
  <c r="J127" i="11"/>
  <c r="J117" i="7"/>
  <c r="J180" i="22"/>
  <c r="J65" i="16"/>
  <c r="AJ153" i="2"/>
  <c r="J21" i="33"/>
  <c r="J33" i="1"/>
  <c r="J15" i="24"/>
  <c r="AJ15" i="26"/>
  <c r="J6" i="23"/>
  <c r="J49" i="5"/>
  <c r="J139" i="9"/>
  <c r="J29" i="15"/>
  <c r="J106" i="3"/>
  <c r="J20" i="19"/>
  <c r="AJ124" i="12"/>
  <c r="AJ44" i="2"/>
  <c r="AJ99" i="7"/>
  <c r="AJ146" i="33"/>
  <c r="J119" i="22"/>
  <c r="J59" i="32"/>
  <c r="J81" i="15"/>
  <c r="AJ26" i="21"/>
  <c r="J144" i="6"/>
  <c r="J172" i="27"/>
  <c r="J73" i="32"/>
  <c r="J5" i="27"/>
  <c r="J98" i="29"/>
  <c r="J34" i="5"/>
  <c r="J118" i="11"/>
  <c r="J43" i="16"/>
  <c r="J93" i="6"/>
  <c r="J157" i="30"/>
  <c r="J112" i="5"/>
  <c r="J18" i="3"/>
  <c r="J74" i="20"/>
  <c r="J46" i="5"/>
  <c r="AJ142" i="28"/>
  <c r="AJ182" i="26"/>
  <c r="AJ43" i="21"/>
  <c r="AJ146" i="10"/>
  <c r="J110" i="22"/>
  <c r="J137" i="19"/>
  <c r="AJ101" i="6"/>
  <c r="AJ50" i="30"/>
  <c r="AJ18" i="26"/>
  <c r="AJ139" i="21"/>
  <c r="J23" i="5"/>
  <c r="AJ182" i="19"/>
  <c r="AJ150" i="20"/>
  <c r="AJ185" i="33"/>
  <c r="AJ47" i="20"/>
  <c r="J137" i="7"/>
  <c r="AJ168" i="17"/>
  <c r="AJ98"/>
  <c r="AJ155" i="20"/>
  <c r="AJ176" i="12"/>
  <c r="AJ94" i="27"/>
  <c r="AJ126" i="32"/>
  <c r="AJ158" i="1"/>
  <c r="J129" i="6"/>
  <c r="AJ76" i="33"/>
  <c r="AJ19" i="9"/>
  <c r="AJ30" i="21"/>
  <c r="AJ46" i="1"/>
  <c r="AJ123" i="4"/>
  <c r="J132" i="9"/>
  <c r="J39" i="30"/>
  <c r="J9" i="18"/>
  <c r="J63" i="1"/>
  <c r="AJ139" i="26"/>
  <c r="AJ176" i="31"/>
  <c r="J33" i="5"/>
  <c r="AJ51" i="9"/>
  <c r="AJ174" i="5"/>
  <c r="AJ100" i="31"/>
  <c r="AJ62" i="6"/>
  <c r="AJ77" i="28"/>
  <c r="AJ157" i="9"/>
  <c r="J25" i="33"/>
  <c r="AJ141" i="6"/>
  <c r="J66" i="9"/>
  <c r="AJ62" i="23"/>
  <c r="AJ74" i="10"/>
  <c r="AJ173" i="21"/>
  <c r="AJ18" i="6"/>
  <c r="AJ60" i="33"/>
  <c r="J143" i="31"/>
  <c r="J180" i="11"/>
  <c r="J74" i="17"/>
  <c r="AJ125" i="15"/>
  <c r="AJ97" i="28"/>
  <c r="AJ51" i="30"/>
  <c r="AJ9" i="10"/>
  <c r="J10" i="1"/>
  <c r="AJ173" i="15"/>
  <c r="J150" i="23"/>
  <c r="AJ160" i="10"/>
  <c r="J129" i="23"/>
  <c r="AJ138" i="33"/>
  <c r="AJ154" i="22"/>
  <c r="AJ17" i="6"/>
  <c r="AJ12" i="2"/>
  <c r="AJ37" i="15"/>
  <c r="AJ50" i="11"/>
  <c r="AJ42" i="17"/>
  <c r="AJ99" i="33"/>
  <c r="J114" i="19"/>
  <c r="AJ106"/>
  <c r="J64" i="30"/>
  <c r="AJ112" i="9"/>
  <c r="AJ126" i="26"/>
  <c r="AJ126" i="12"/>
  <c r="AJ83" i="9"/>
  <c r="J36" i="1"/>
  <c r="AJ70" i="7"/>
  <c r="J3" i="23"/>
  <c r="AJ5" i="17"/>
  <c r="AJ129" i="12"/>
  <c r="J13" i="3"/>
  <c r="AJ36" i="12"/>
  <c r="AJ64" i="32"/>
  <c r="AJ119" i="2"/>
  <c r="AJ48" i="27"/>
  <c r="AJ54" i="15"/>
  <c r="AJ145" i="7"/>
  <c r="AJ27" i="2"/>
  <c r="J72"/>
  <c r="AJ3" i="9"/>
  <c r="AJ46" i="23"/>
  <c r="AJ82" i="12"/>
  <c r="AJ159" i="3"/>
  <c r="AJ170" i="32"/>
  <c r="AJ93" i="7"/>
  <c r="AJ109" i="15"/>
  <c r="AJ70" i="11"/>
  <c r="J159" i="15"/>
  <c r="AJ181" i="5"/>
  <c r="AJ152" i="7"/>
  <c r="AJ110"/>
  <c r="AJ39" i="5"/>
  <c r="AJ116" i="30"/>
  <c r="AJ162" i="28"/>
  <c r="AJ120" i="32"/>
  <c r="AJ119" i="19"/>
  <c r="AJ12" i="18"/>
  <c r="AJ75" i="28"/>
  <c r="J160" i="15"/>
  <c r="AJ75" i="33"/>
  <c r="AJ123" i="22"/>
  <c r="AJ140" i="28"/>
  <c r="AJ81" i="3"/>
  <c r="AJ13" i="27"/>
  <c r="J172" i="17"/>
  <c r="AJ11" i="9"/>
  <c r="AJ144" i="15"/>
  <c r="AJ119" i="3"/>
  <c r="AJ163" i="15"/>
  <c r="AJ107" i="31"/>
  <c r="AJ17" i="15"/>
  <c r="AJ88" i="19"/>
  <c r="AJ31" i="28"/>
  <c r="AJ164" i="30"/>
  <c r="J166" i="21"/>
  <c r="J125" i="16"/>
  <c r="AJ148" i="33"/>
  <c r="AJ57" i="12"/>
  <c r="AJ13" i="2"/>
  <c r="AJ23" i="21"/>
  <c r="AJ125" i="16"/>
  <c r="AJ172" i="30"/>
  <c r="AJ31" i="1"/>
  <c r="AJ20" i="4"/>
  <c r="AJ159" i="31"/>
  <c r="AJ145" i="3"/>
  <c r="AJ108" i="19"/>
  <c r="AJ53" i="32"/>
  <c r="AJ109" i="11"/>
  <c r="AJ58" i="22"/>
  <c r="AJ155" i="11"/>
  <c r="AJ12" i="23"/>
  <c r="J33" i="7"/>
  <c r="AJ44" i="3"/>
  <c r="AJ178" i="31"/>
  <c r="AJ181" i="23"/>
  <c r="AJ110" i="30"/>
  <c r="AJ63" i="2"/>
  <c r="J33" i="15"/>
  <c r="AJ80" i="32"/>
  <c r="AJ52" i="30"/>
  <c r="AJ153" i="6"/>
  <c r="AJ152" i="28"/>
  <c r="AJ24" i="18"/>
  <c r="AJ85" i="23"/>
  <c r="AJ118" i="22"/>
  <c r="AJ11" i="3"/>
  <c r="AJ48" i="2"/>
  <c r="AJ8" i="30"/>
  <c r="AJ91" i="17"/>
  <c r="J67" i="28"/>
  <c r="AJ74" i="30"/>
  <c r="AJ145"/>
  <c r="AJ53" i="22"/>
  <c r="AJ65" i="33"/>
  <c r="AJ50" i="3"/>
  <c r="AJ124" i="27"/>
  <c r="J28" i="23"/>
  <c r="J63" i="28"/>
  <c r="AJ20" i="9"/>
  <c r="AJ166" i="18"/>
  <c r="AJ55" i="17"/>
  <c r="AJ162" i="30"/>
  <c r="AJ184" i="27"/>
  <c r="AJ102"/>
  <c r="AJ148" i="19"/>
  <c r="AJ5" i="11"/>
  <c r="AJ134" i="9"/>
  <c r="AJ32" i="29"/>
  <c r="AJ148" i="5"/>
  <c r="AJ111" i="10"/>
  <c r="AJ182" i="33"/>
  <c r="AJ131" i="30"/>
  <c r="J10" i="3"/>
  <c r="AJ118" i="15"/>
  <c r="AJ124" i="32"/>
  <c r="J173" i="31"/>
  <c r="J74" i="7"/>
  <c r="AJ159" i="22"/>
  <c r="AJ23" i="16"/>
  <c r="AJ90" i="2"/>
  <c r="J3" i="3"/>
  <c r="J38" i="28"/>
  <c r="AJ94" i="22"/>
  <c r="AJ116" i="23"/>
  <c r="AJ104" i="31"/>
  <c r="AJ77" i="27"/>
  <c r="AJ127" i="1"/>
  <c r="AJ45" i="10"/>
  <c r="AJ101" i="20"/>
  <c r="AJ84" i="9"/>
  <c r="AJ37" i="33"/>
  <c r="AJ81" i="2"/>
  <c r="J145" i="6"/>
  <c r="AJ65" i="11"/>
  <c r="AJ183" i="23"/>
  <c r="AJ3" i="26"/>
  <c r="AJ9" i="32"/>
  <c r="J100" i="30"/>
  <c r="J116" i="7"/>
  <c r="AJ21" i="1"/>
  <c r="AJ173" i="6"/>
  <c r="AJ33" i="30"/>
  <c r="AJ106" i="15"/>
  <c r="J9" i="11"/>
  <c r="AJ80" i="1"/>
  <c r="J143" i="7"/>
  <c r="AJ89" i="4"/>
  <c r="AJ25" i="27"/>
  <c r="J153"/>
  <c r="AJ183" i="10"/>
  <c r="AJ148" i="17"/>
  <c r="AJ101" i="31"/>
  <c r="AJ30" i="22"/>
  <c r="AJ74" i="1"/>
  <c r="AJ174" i="32"/>
  <c r="AJ89" i="17"/>
  <c r="AJ61" i="7"/>
  <c r="AJ18" i="16"/>
  <c r="AJ86"/>
  <c r="AJ25" i="9"/>
  <c r="AJ136" i="10"/>
  <c r="AJ139" i="28"/>
  <c r="AJ120" i="7"/>
  <c r="AJ178" i="6"/>
  <c r="J116" i="1"/>
  <c r="AJ90" i="4"/>
  <c r="AJ10" i="16"/>
  <c r="AJ117" i="30"/>
  <c r="AJ177" i="9"/>
  <c r="AJ14" i="3"/>
  <c r="J16" i="5"/>
  <c r="AJ20" i="10"/>
  <c r="AJ167" i="3"/>
  <c r="AJ147" i="22"/>
  <c r="AJ133" i="3"/>
  <c r="AJ91" i="33"/>
  <c r="AJ91" i="5"/>
  <c r="AJ108" i="16"/>
  <c r="AJ124" i="9"/>
  <c r="J36" i="27"/>
  <c r="J136" i="11"/>
  <c r="AJ159" i="16"/>
  <c r="AJ164" i="5"/>
  <c r="AJ181" i="33"/>
  <c r="AJ11" i="16"/>
  <c r="AJ179" i="23"/>
  <c r="AJ170" i="15"/>
  <c r="AJ34" i="30"/>
  <c r="AJ89" i="5"/>
  <c r="AJ117" i="32"/>
  <c r="AJ64" i="31"/>
  <c r="AJ7" i="18"/>
  <c r="AJ41" i="1"/>
  <c r="J19" i="5"/>
  <c r="AJ102" i="30"/>
  <c r="AJ87" i="10"/>
  <c r="J161" i="27"/>
  <c r="AJ95" i="16"/>
  <c r="J129" i="26"/>
  <c r="J150" i="29"/>
  <c r="J137" i="32"/>
  <c r="AJ99" i="5"/>
  <c r="AJ38"/>
  <c r="AJ51" i="4"/>
  <c r="AJ133" i="6"/>
  <c r="J92" i="31"/>
  <c r="AJ47" i="28"/>
  <c r="AJ151"/>
  <c r="AJ180" i="16"/>
  <c r="AJ146" i="11"/>
  <c r="AJ13" i="23"/>
  <c r="AJ132" i="29"/>
  <c r="AJ115" i="15"/>
  <c r="AJ80" i="19"/>
  <c r="AJ147" i="16"/>
  <c r="AJ111"/>
  <c r="AJ161" i="5"/>
  <c r="AJ91" i="10"/>
  <c r="AJ154" i="15"/>
  <c r="J166" i="27"/>
  <c r="AJ102" i="15"/>
  <c r="AJ170" i="3"/>
  <c r="AJ183" i="9"/>
  <c r="AJ55" i="32"/>
  <c r="AJ168" i="15"/>
  <c r="AJ58" i="30"/>
  <c r="AJ39" i="27"/>
  <c r="AJ43" i="17"/>
  <c r="AJ150" i="33"/>
  <c r="AJ12" i="31"/>
  <c r="AJ163" i="23"/>
  <c r="AJ149" i="30"/>
  <c r="AJ157" i="5"/>
  <c r="AJ56" i="33"/>
  <c r="AJ78" i="16"/>
  <c r="AJ9" i="6"/>
  <c r="AJ114" i="1"/>
  <c r="AJ75" i="17"/>
  <c r="AJ183" i="33"/>
  <c r="AJ170" i="27"/>
  <c r="AJ102" i="26"/>
  <c r="AJ157" i="27"/>
  <c r="AJ18" i="19"/>
  <c r="AJ14" i="27"/>
  <c r="AJ68" i="6"/>
  <c r="AJ158" i="11"/>
  <c r="AJ146" i="18"/>
  <c r="AJ76" i="17"/>
  <c r="AJ159" i="33"/>
  <c r="AJ179" i="31"/>
  <c r="AJ142" i="16"/>
  <c r="AJ77" i="32"/>
  <c r="AJ137" i="27"/>
  <c r="AJ138" i="17"/>
  <c r="AJ102" i="12"/>
  <c r="AJ11" i="24"/>
  <c r="AJ184" i="15"/>
  <c r="AJ12" i="22"/>
  <c r="AJ44" i="20"/>
  <c r="J139" i="25"/>
  <c r="J23" i="20"/>
  <c r="J162" i="22"/>
  <c r="J53" i="28"/>
  <c r="J23" i="21"/>
  <c r="J81" i="3"/>
  <c r="J51" i="30"/>
  <c r="J21" i="23"/>
  <c r="AJ71" i="24"/>
  <c r="J36" i="5"/>
  <c r="J159" i="28"/>
  <c r="J68" i="29"/>
  <c r="J81" i="19"/>
  <c r="AJ12" i="28"/>
  <c r="J74" i="1"/>
  <c r="J98" i="32"/>
  <c r="AJ17" i="17"/>
  <c r="AJ184" i="24"/>
  <c r="J95" i="26"/>
  <c r="J123" i="31"/>
  <c r="AJ70" i="22"/>
  <c r="J92" i="10"/>
  <c r="AJ104" i="24"/>
  <c r="AJ97" i="12"/>
  <c r="AJ130" i="28"/>
  <c r="J120" i="23"/>
  <c r="J184" i="11"/>
  <c r="J96" i="32"/>
  <c r="J81" i="31"/>
  <c r="J67" i="1"/>
  <c r="J100" i="16"/>
  <c r="J142" i="29"/>
  <c r="J162" i="5"/>
  <c r="J109" i="3"/>
  <c r="AJ171" i="20"/>
  <c r="J40" i="23"/>
  <c r="AJ136" i="18"/>
  <c r="J155" i="33"/>
  <c r="AJ15" i="18"/>
  <c r="J82" i="19"/>
  <c r="AJ64" i="4"/>
  <c r="J169" i="9"/>
  <c r="J81" i="29"/>
  <c r="J180" i="27"/>
  <c r="AJ66" i="21"/>
  <c r="J34" i="19"/>
  <c r="AJ182" i="28"/>
  <c r="J94" i="16"/>
  <c r="J8" i="23"/>
  <c r="AJ60" i="26"/>
  <c r="AJ69" i="22"/>
  <c r="AJ66" i="2"/>
  <c r="AJ122" i="31"/>
  <c r="J33" i="2"/>
  <c r="J140" i="4"/>
  <c r="AJ130" i="7"/>
  <c r="AJ27" i="6"/>
  <c r="J72" i="30"/>
  <c r="AJ20" i="21"/>
  <c r="AJ24" i="33"/>
  <c r="J185" i="23"/>
  <c r="AJ59" i="20"/>
  <c r="AJ26" i="31"/>
  <c r="AJ81" i="15"/>
  <c r="AJ67" i="26"/>
  <c r="AJ76" i="7"/>
  <c r="AJ9" i="3"/>
  <c r="J101" i="17"/>
  <c r="AJ36" i="2"/>
  <c r="J10" i="9"/>
  <c r="AJ169" i="32"/>
  <c r="AJ65" i="20"/>
  <c r="AJ95" i="19"/>
  <c r="AJ161" i="29"/>
  <c r="J9" i="3"/>
  <c r="AJ135" i="32"/>
  <c r="AJ51" i="17"/>
  <c r="AJ118" i="30"/>
  <c r="J37" i="17"/>
  <c r="AJ122"/>
  <c r="AJ8" i="31"/>
  <c r="AJ77" i="6"/>
  <c r="AJ18" i="3"/>
  <c r="AJ26" i="27"/>
  <c r="AJ115" i="26"/>
  <c r="J125" i="29"/>
  <c r="AJ22" i="32"/>
  <c r="AJ178" i="21"/>
  <c r="AJ38" i="1"/>
  <c r="AJ107" i="18"/>
  <c r="AJ169" i="9"/>
  <c r="AJ142" i="5"/>
  <c r="AJ16" i="23"/>
  <c r="AJ140" i="4"/>
  <c r="J68" i="19"/>
  <c r="AJ163" i="4"/>
  <c r="AJ27" i="27"/>
  <c r="J71" i="6"/>
  <c r="AJ11" i="32"/>
  <c r="AJ155" i="26"/>
  <c r="AJ30" i="31"/>
  <c r="AJ87" i="22"/>
  <c r="AJ163" i="32"/>
  <c r="AJ106" i="2"/>
  <c r="AJ27" i="18"/>
  <c r="AJ24" i="31"/>
  <c r="J69" i="16"/>
  <c r="AJ103" i="5"/>
  <c r="J100" i="22"/>
  <c r="AJ169" i="31"/>
  <c r="AJ74" i="2"/>
  <c r="J20" i="3"/>
  <c r="AJ18" i="4"/>
  <c r="AJ162" i="15"/>
  <c r="AJ133" i="5"/>
  <c r="AJ134" i="29"/>
  <c r="AJ171"/>
  <c r="AJ100" i="24"/>
  <c r="J16" i="31"/>
  <c r="J106"/>
  <c r="AJ21" i="5"/>
  <c r="AJ3" i="10"/>
  <c r="AJ82" i="2"/>
  <c r="AJ173"/>
  <c r="AJ111" i="27"/>
  <c r="AJ144" i="10"/>
  <c r="AJ106" i="17"/>
  <c r="AJ153" i="4"/>
  <c r="J92" i="33"/>
  <c r="AJ85" i="5"/>
  <c r="J89" i="3"/>
  <c r="J122" i="5"/>
  <c r="J165"/>
  <c r="AJ168" i="6"/>
  <c r="AJ160" i="1"/>
  <c r="AJ3" i="21"/>
  <c r="AJ80" i="16"/>
  <c r="AJ99"/>
  <c r="AJ105" i="5"/>
  <c r="AJ5" i="3"/>
  <c r="AJ39" i="6"/>
  <c r="AJ94" i="19"/>
  <c r="AJ145" i="16"/>
  <c r="AJ170" i="12"/>
  <c r="AJ112" i="24"/>
  <c r="J8" i="9"/>
  <c r="AJ28" i="31"/>
  <c r="AJ163" i="22"/>
  <c r="AJ65" i="18"/>
  <c r="J139" i="30"/>
  <c r="AJ37" i="27"/>
  <c r="AJ69" i="30"/>
  <c r="AJ157" i="11"/>
  <c r="AJ114" i="9"/>
  <c r="AJ169" i="33"/>
  <c r="AJ72" i="23"/>
  <c r="AJ101" i="7"/>
  <c r="AJ167" i="26"/>
  <c r="AJ44" i="6"/>
  <c r="J107" i="11"/>
  <c r="AJ161" i="12"/>
  <c r="AJ140" i="29"/>
  <c r="AJ139" i="27"/>
  <c r="AJ25" i="16"/>
  <c r="AJ52" i="32"/>
  <c r="AJ183" i="20"/>
  <c r="AJ159" i="32"/>
  <c r="AJ48" i="10"/>
  <c r="AJ149" i="15"/>
  <c r="J67" i="17"/>
  <c r="AJ82" i="28"/>
  <c r="AJ178" i="16"/>
  <c r="AJ177" i="19"/>
  <c r="AJ117" i="3"/>
  <c r="AJ34" i="11"/>
  <c r="J74" i="4"/>
  <c r="J135" i="22"/>
  <c r="AJ66" i="26"/>
  <c r="AJ73" i="9"/>
  <c r="AJ78" i="31"/>
  <c r="AJ142" i="3"/>
  <c r="J119" i="11"/>
  <c r="AJ180" i="3"/>
  <c r="AJ38" i="28"/>
  <c r="AJ105" i="19"/>
  <c r="AJ45" i="27"/>
  <c r="AJ90" i="31"/>
  <c r="AJ63" i="11"/>
  <c r="AJ11" i="33"/>
  <c r="AJ136" i="28"/>
  <c r="AJ173" i="27"/>
  <c r="AJ100" i="12"/>
  <c r="J100" i="4"/>
  <c r="J40" i="25"/>
  <c r="AJ55" i="28"/>
  <c r="AJ87" i="23"/>
  <c r="AJ83" i="5"/>
  <c r="AJ26" i="9"/>
  <c r="AJ28" i="27"/>
  <c r="AJ158" i="17"/>
  <c r="AJ87" i="12"/>
  <c r="AJ102" i="33"/>
  <c r="AJ50" i="23"/>
  <c r="AJ72" i="32"/>
  <c r="AJ171" i="30"/>
  <c r="AJ18" i="7"/>
  <c r="J146" i="16"/>
  <c r="AJ63" i="18"/>
  <c r="AJ169" i="6"/>
  <c r="AJ154" i="1"/>
  <c r="AJ56"/>
  <c r="AJ40" i="5"/>
  <c r="AJ26"/>
  <c r="AJ131" i="27"/>
  <c r="J28"/>
  <c r="AJ100"/>
  <c r="AJ104" i="22"/>
  <c r="AJ29" i="2"/>
  <c r="J59" i="16"/>
  <c r="AJ99" i="32"/>
  <c r="AJ48" i="23"/>
  <c r="AJ98" i="1"/>
  <c r="AJ6" i="15"/>
  <c r="AJ102" i="3"/>
  <c r="AJ92"/>
  <c r="AJ41" i="5"/>
  <c r="AJ26" i="3"/>
  <c r="AJ133" i="11"/>
  <c r="AJ125" i="9"/>
  <c r="AJ184" i="10"/>
  <c r="AJ17" i="28"/>
  <c r="AJ46" i="27"/>
  <c r="AJ114" i="2"/>
  <c r="AJ77" i="19"/>
  <c r="AJ160" i="32"/>
  <c r="AJ51" i="22"/>
  <c r="AJ112" i="16"/>
  <c r="AJ71" i="20"/>
  <c r="AJ108" i="29"/>
  <c r="AJ72" i="21"/>
  <c r="AJ146"/>
  <c r="J161" i="23"/>
  <c r="AJ67" i="20"/>
  <c r="AJ95" i="15"/>
  <c r="AJ39" i="2"/>
  <c r="AJ105" i="31"/>
  <c r="AJ26" i="30"/>
  <c r="AJ52" i="20"/>
  <c r="AJ91" i="19"/>
  <c r="AJ144"/>
  <c r="J111" i="7"/>
  <c r="AJ176" i="22"/>
  <c r="AJ149" i="16"/>
  <c r="AJ53" i="19"/>
  <c r="AJ137" i="6"/>
  <c r="J179"/>
  <c r="AJ143" i="17"/>
  <c r="J4" i="16"/>
  <c r="AJ112" i="33"/>
  <c r="AJ40" i="23"/>
  <c r="AJ179" i="21"/>
  <c r="AJ185" i="7"/>
  <c r="AJ79" i="30"/>
  <c r="AJ172" i="4"/>
  <c r="AJ59" i="33"/>
  <c r="AJ89" i="28"/>
  <c r="AJ150" i="18"/>
  <c r="AJ135" i="4"/>
  <c r="AJ101" i="9"/>
  <c r="AJ157" i="30"/>
  <c r="AJ148" i="1"/>
  <c r="AJ107" i="30"/>
  <c r="AJ37"/>
  <c r="AJ140" i="16"/>
  <c r="AJ105" i="23"/>
  <c r="AJ89"/>
  <c r="AJ185" i="29"/>
  <c r="AJ83" i="4"/>
  <c r="AJ45" i="1"/>
  <c r="AJ12" i="30"/>
  <c r="AJ14" i="6"/>
  <c r="AJ128" i="1"/>
  <c r="AJ5" i="9"/>
  <c r="AJ18" i="27"/>
  <c r="AJ156" i="9"/>
  <c r="AJ125" i="11"/>
  <c r="AJ130" i="9"/>
  <c r="AJ96" i="19"/>
  <c r="AJ59" i="5"/>
  <c r="AJ141"/>
  <c r="AJ34" i="16"/>
  <c r="AJ86" i="33"/>
  <c r="AJ40" i="6"/>
  <c r="J9"/>
  <c r="AJ149" i="28"/>
  <c r="J96" i="25"/>
  <c r="AJ54" i="30"/>
  <c r="AJ67" i="23"/>
  <c r="AJ106" i="1"/>
  <c r="AJ25" i="5"/>
  <c r="AJ29" i="17"/>
  <c r="J5"/>
  <c r="AJ129" i="7"/>
  <c r="AJ121" i="32"/>
  <c r="J45" i="24"/>
  <c r="J67" i="7"/>
  <c r="AJ68" i="2"/>
  <c r="J139" i="28"/>
  <c r="J52" i="32"/>
  <c r="AJ42" i="18"/>
  <c r="AJ104" i="29"/>
  <c r="J57" i="9"/>
  <c r="J3"/>
  <c r="J56" i="7"/>
  <c r="J153" i="11"/>
  <c r="AJ53" i="29"/>
  <c r="AJ48" i="4"/>
  <c r="J35" i="27"/>
  <c r="AJ184" i="7"/>
  <c r="AJ64" i="19"/>
  <c r="J149" i="31"/>
  <c r="AJ15" i="10"/>
  <c r="AJ136" i="32"/>
  <c r="AJ4" i="2"/>
  <c r="AJ124" i="17"/>
  <c r="AJ49" i="9"/>
  <c r="AJ128" i="6"/>
  <c r="J111" i="5"/>
  <c r="AJ54" i="32"/>
  <c r="AJ40" i="20"/>
  <c r="AJ118"/>
  <c r="AJ106" i="24"/>
  <c r="AJ158" i="20"/>
  <c r="AJ160" i="16"/>
  <c r="AJ89" i="2"/>
  <c r="J94" i="25"/>
  <c r="AJ148" i="4"/>
  <c r="AJ96" i="6"/>
  <c r="J58" i="1"/>
  <c r="AJ164" i="18"/>
  <c r="J128" i="11"/>
  <c r="AJ163" i="9"/>
  <c r="AJ180" i="29"/>
  <c r="AJ24" i="28"/>
  <c r="AJ172" i="7"/>
  <c r="AJ49" i="33"/>
  <c r="AJ124" i="28"/>
  <c r="AJ133" i="20"/>
  <c r="AJ18" i="33"/>
  <c r="AJ13" i="29"/>
  <c r="AJ104" i="17"/>
  <c r="AJ144" i="5"/>
  <c r="AJ178"/>
  <c r="AJ45" i="4"/>
  <c r="AJ88" i="11"/>
  <c r="AJ55" i="7"/>
  <c r="AJ138" i="15"/>
  <c r="AJ17" i="26"/>
  <c r="AJ108" i="22"/>
  <c r="AJ154" i="9"/>
  <c r="AJ171" i="15"/>
  <c r="AJ175" i="2"/>
  <c r="J75" i="5"/>
  <c r="AJ28" i="9"/>
  <c r="AJ33" i="1"/>
  <c r="AJ123" i="6"/>
  <c r="AJ107" i="33"/>
  <c r="AJ21" i="4"/>
  <c r="AJ116" i="26"/>
  <c r="AJ86" i="12"/>
  <c r="AJ181" i="17"/>
  <c r="J131" i="22"/>
  <c r="AJ40" i="11"/>
  <c r="AJ164" i="19"/>
  <c r="AJ108" i="10"/>
  <c r="AJ122" i="1"/>
  <c r="AJ13" i="21"/>
  <c r="AJ90"/>
  <c r="AJ120" i="33"/>
  <c r="AJ149" i="24"/>
  <c r="AJ175" i="31"/>
  <c r="AJ121" i="19"/>
  <c r="AJ39" i="17"/>
  <c r="AJ42" i="19"/>
  <c r="AJ157" i="7"/>
  <c r="J102" i="30"/>
  <c r="AJ108" i="4"/>
  <c r="J111" i="27"/>
  <c r="AJ120" i="26"/>
  <c r="AJ137" i="1"/>
  <c r="J102" i="31"/>
  <c r="AJ125" i="6"/>
  <c r="AJ122" i="23"/>
  <c r="J176" i="19"/>
  <c r="AJ91" i="6"/>
  <c r="AJ47" i="16"/>
  <c r="AJ151" i="11"/>
  <c r="AJ43" i="27"/>
  <c r="J18" i="10"/>
  <c r="J91" i="28"/>
  <c r="J172" i="29"/>
  <c r="J125" i="12"/>
  <c r="J58" i="24"/>
  <c r="J92" i="29"/>
  <c r="AJ132" i="24"/>
  <c r="J129" i="25"/>
  <c r="J173" i="16"/>
  <c r="J43" i="29"/>
  <c r="J129" i="5"/>
  <c r="J117" i="1"/>
  <c r="J174" i="32"/>
  <c r="J24" i="5"/>
  <c r="AJ174" i="21"/>
  <c r="J160" i="6"/>
  <c r="J29" i="11"/>
  <c r="J5" i="33"/>
  <c r="J82"/>
  <c r="J47" i="11"/>
  <c r="J133" i="17"/>
  <c r="J102" i="5"/>
  <c r="J113" i="2"/>
  <c r="AJ88" i="29"/>
  <c r="J23" i="24"/>
  <c r="J108" i="30"/>
  <c r="J161" i="1"/>
  <c r="J49" i="25"/>
  <c r="AJ157" i="12"/>
  <c r="AJ88" i="30"/>
  <c r="AJ132" i="1"/>
  <c r="AJ112" i="4"/>
  <c r="J127" i="10"/>
  <c r="AJ79" i="3"/>
  <c r="J142"/>
  <c r="AJ69" i="33"/>
  <c r="J46" i="25"/>
  <c r="J53" i="1"/>
  <c r="J43" i="17"/>
  <c r="AJ70" i="23"/>
  <c r="J139" i="31"/>
  <c r="J5" i="16"/>
  <c r="J122" i="4"/>
  <c r="AJ143" i="7"/>
  <c r="J179" i="21"/>
  <c r="AJ43" i="29"/>
  <c r="J38" i="23"/>
  <c r="AJ133" i="33"/>
  <c r="J60" i="2"/>
  <c r="J176" i="17"/>
  <c r="J153" i="19"/>
  <c r="AJ62" i="1"/>
  <c r="J174" i="6"/>
  <c r="J97" i="30"/>
  <c r="J130" i="5"/>
  <c r="J11" i="31"/>
  <c r="J162" i="3"/>
  <c r="AJ40" i="9"/>
  <c r="J165" i="1"/>
  <c r="J166" i="5"/>
  <c r="AJ27" i="19"/>
  <c r="AJ153"/>
  <c r="AJ103" i="20"/>
  <c r="AJ11" i="31"/>
  <c r="AJ62"/>
  <c r="J143" i="19"/>
  <c r="AJ77" i="29"/>
  <c r="AJ39"/>
  <c r="AJ166" i="28"/>
  <c r="AJ150" i="1"/>
  <c r="AJ29" i="3"/>
  <c r="AJ60" i="9"/>
  <c r="AJ22" i="23"/>
  <c r="AJ132" i="33"/>
  <c r="AJ39" i="12"/>
  <c r="AJ181" i="29"/>
  <c r="AJ29" i="11"/>
  <c r="AJ16" i="2"/>
  <c r="AJ153" i="26"/>
  <c r="J179" i="22"/>
  <c r="J3" i="20"/>
  <c r="J85" i="22"/>
  <c r="J167" i="5"/>
  <c r="AJ87" i="7"/>
  <c r="J183" i="29"/>
  <c r="AJ40" i="31"/>
  <c r="AJ43" i="7"/>
  <c r="AJ76" i="30"/>
  <c r="AJ31" i="7"/>
  <c r="AJ117" i="28"/>
  <c r="J176" i="32"/>
  <c r="AJ145" i="26"/>
  <c r="AJ23" i="15"/>
  <c r="J5" i="22"/>
  <c r="J162" i="26"/>
  <c r="AJ127"/>
  <c r="J111" i="31"/>
  <c r="J146" i="21"/>
  <c r="AJ116" i="32"/>
  <c r="J69" i="2"/>
  <c r="AJ100" i="23"/>
  <c r="AJ92" i="6"/>
  <c r="AJ162" i="19"/>
  <c r="AJ47" i="22"/>
  <c r="AJ63" i="23"/>
  <c r="AJ9" i="5"/>
  <c r="AJ115" i="23"/>
  <c r="J165" i="33"/>
  <c r="AJ86" i="31"/>
  <c r="AJ54" i="12"/>
  <c r="J101" i="19"/>
  <c r="J95" i="6"/>
  <c r="AJ166" i="3"/>
  <c r="AJ106" i="31"/>
  <c r="AJ104" i="11"/>
  <c r="AJ148" i="6"/>
  <c r="AJ14" i="30"/>
  <c r="AJ34" i="18"/>
  <c r="AJ170" i="21"/>
  <c r="AJ154" i="32"/>
  <c r="AJ145" i="23"/>
  <c r="AJ160" i="27"/>
  <c r="AJ103" i="2"/>
  <c r="AJ114" i="16"/>
  <c r="AJ27" i="3"/>
  <c r="AJ43" i="4"/>
  <c r="AJ84" i="5"/>
  <c r="AJ148" i="16"/>
  <c r="J43" i="31"/>
  <c r="AJ148" i="32"/>
  <c r="AJ129" i="10"/>
  <c r="AJ119" i="26"/>
  <c r="AJ88" i="21"/>
  <c r="AJ89" i="18"/>
  <c r="AJ173" i="29"/>
  <c r="AJ35" i="20"/>
  <c r="AJ142" i="23"/>
  <c r="J113" i="31"/>
  <c r="AJ84" i="15"/>
  <c r="AJ119" i="6"/>
  <c r="AJ61" i="1"/>
  <c r="AJ67" i="11"/>
  <c r="AJ92" i="19"/>
  <c r="AJ74"/>
  <c r="J61" i="2"/>
  <c r="J183" i="7"/>
  <c r="AJ25" i="23"/>
  <c r="AJ12" i="15"/>
  <c r="AJ166" i="30"/>
  <c r="AJ107" i="15"/>
  <c r="AJ127" i="17"/>
  <c r="J97" i="25"/>
  <c r="AJ138" i="11"/>
  <c r="AJ113" i="6"/>
  <c r="AJ79" i="5"/>
  <c r="AJ38" i="16"/>
  <c r="AJ130"/>
  <c r="AJ53" i="2"/>
  <c r="AJ26" i="4"/>
  <c r="AJ50" i="17"/>
  <c r="J37" i="3"/>
  <c r="AJ91" i="20"/>
  <c r="J102" i="24"/>
  <c r="AJ126" i="3"/>
  <c r="J84" i="1"/>
  <c r="AJ176" i="6"/>
  <c r="AJ108" i="24"/>
  <c r="AJ108" i="3"/>
  <c r="AJ20" i="22"/>
  <c r="AJ171" i="7"/>
  <c r="AJ12" i="24"/>
  <c r="J76" i="6"/>
  <c r="AJ147" i="2"/>
  <c r="AJ151" i="17"/>
  <c r="AJ140" i="23"/>
  <c r="AJ37" i="19"/>
  <c r="J143" i="30"/>
  <c r="J115" i="16"/>
  <c r="J168" i="29"/>
  <c r="AJ104" i="21"/>
  <c r="AJ60" i="15"/>
  <c r="AJ116" i="22"/>
  <c r="AJ58" i="16"/>
  <c r="AJ175" i="10"/>
  <c r="AJ153" i="23"/>
  <c r="AJ124" i="33"/>
  <c r="AJ75" i="16"/>
  <c r="AJ162" i="1"/>
  <c r="AJ8" i="19"/>
  <c r="AJ122" i="2"/>
  <c r="AJ181" i="16"/>
  <c r="AJ110" i="1"/>
  <c r="AJ22" i="16"/>
  <c r="J143"/>
  <c r="AJ87" i="4"/>
  <c r="AJ43" i="6"/>
  <c r="AJ68" i="22"/>
  <c r="AJ47" i="10"/>
  <c r="AJ10" i="15"/>
  <c r="AJ120" i="16"/>
  <c r="AJ158" i="7"/>
  <c r="AJ22" i="20"/>
  <c r="AJ112" i="10"/>
  <c r="AJ25" i="6"/>
  <c r="AJ93" i="11"/>
  <c r="AJ169" i="18"/>
  <c r="AJ35" i="10"/>
  <c r="AJ156" i="30"/>
  <c r="AJ67" i="19"/>
  <c r="AJ125" i="31"/>
  <c r="AJ144" i="11"/>
  <c r="AJ54" i="9"/>
  <c r="AJ9" i="28"/>
  <c r="AJ71" i="19"/>
  <c r="AJ181" i="1"/>
  <c r="J152" i="19"/>
  <c r="AJ139" i="6"/>
  <c r="AJ114" i="15"/>
  <c r="AJ167" i="7"/>
  <c r="J131" i="5"/>
  <c r="AJ162"/>
  <c r="AJ84" i="19"/>
  <c r="AJ33" i="11"/>
  <c r="AJ129" i="31"/>
  <c r="AJ111" i="33"/>
  <c r="AJ67" i="29"/>
  <c r="AJ50" i="32"/>
  <c r="J77" i="5"/>
  <c r="AJ89" i="16"/>
  <c r="AJ138" i="26"/>
  <c r="AJ129" i="16"/>
  <c r="AJ169" i="19"/>
  <c r="AJ36" i="28"/>
  <c r="AJ9" i="31"/>
  <c r="AJ94" i="1"/>
  <c r="AJ153" i="22"/>
  <c r="AJ50" i="31"/>
  <c r="AJ55"/>
  <c r="AJ58" i="32"/>
  <c r="AJ152" i="9"/>
  <c r="AJ175" i="27"/>
  <c r="AJ84" i="3"/>
  <c r="AJ124" i="21"/>
  <c r="AJ75" i="1"/>
  <c r="AJ173" i="12"/>
  <c r="AJ123" i="31"/>
  <c r="AJ16" i="1"/>
  <c r="AJ98" i="10"/>
  <c r="AJ79" i="31"/>
  <c r="AJ168" i="32"/>
  <c r="AJ138" i="31"/>
  <c r="AJ153" i="1"/>
  <c r="AJ29" i="18"/>
  <c r="AJ118" i="3"/>
  <c r="AJ153" i="15"/>
  <c r="AJ73" i="1"/>
  <c r="J150" i="9"/>
  <c r="AJ48" i="30"/>
  <c r="AJ27" i="16"/>
  <c r="AJ97" i="17"/>
  <c r="AJ67" i="1"/>
  <c r="J111" i="33"/>
  <c r="AJ161" i="4"/>
  <c r="AJ126" i="15"/>
  <c r="AJ131" i="19"/>
  <c r="AJ152" i="32"/>
  <c r="AJ25" i="20"/>
  <c r="J141" i="19"/>
  <c r="AJ152" i="17"/>
  <c r="AJ179" i="9"/>
  <c r="AJ49" i="11"/>
  <c r="AJ182" i="30"/>
  <c r="AJ45" i="11"/>
  <c r="AJ9" i="16"/>
  <c r="J37" i="31"/>
  <c r="AJ7" i="11"/>
  <c r="AJ135" i="9"/>
  <c r="AJ66" i="20"/>
  <c r="AJ5" i="27"/>
  <c r="AJ160" i="7"/>
  <c r="AJ70" i="20"/>
  <c r="AJ125" i="5"/>
  <c r="AJ72" i="1"/>
  <c r="AJ112" i="30"/>
  <c r="AJ135" i="23"/>
  <c r="AJ34" i="9"/>
  <c r="AJ140" i="15"/>
  <c r="AJ15" i="16"/>
  <c r="AJ6"/>
  <c r="AJ95" i="11"/>
  <c r="AJ75" i="3"/>
  <c r="AJ22" i="27"/>
  <c r="AJ98" i="23"/>
  <c r="AJ151" i="15"/>
  <c r="AJ24" i="17"/>
  <c r="J84" i="27"/>
  <c r="J4" i="31"/>
  <c r="AJ26" i="15"/>
  <c r="AJ102" i="7"/>
  <c r="J129" i="19"/>
  <c r="AJ30" i="6"/>
  <c r="AJ177" i="27"/>
  <c r="AJ168" i="22"/>
  <c r="AJ107" i="32"/>
  <c r="AJ145" i="17"/>
  <c r="AJ30" i="16"/>
  <c r="AJ159" i="9"/>
  <c r="AJ97" i="6"/>
  <c r="AJ105" i="24"/>
  <c r="AJ90" i="28"/>
  <c r="J4" i="27"/>
  <c r="AJ150" i="15"/>
  <c r="AJ121" i="11"/>
  <c r="AJ79"/>
  <c r="AJ164" i="9"/>
  <c r="AJ179" i="7"/>
  <c r="AJ157" i="10"/>
  <c r="J136" i="19"/>
  <c r="J137" i="31"/>
  <c r="AJ172" i="33"/>
  <c r="AJ8" i="1"/>
  <c r="AJ182" i="7"/>
  <c r="AJ22" i="31"/>
  <c r="AJ144" i="4"/>
  <c r="AJ100" i="7"/>
  <c r="AJ58" i="2"/>
  <c r="AJ89" i="31"/>
  <c r="J88" i="22"/>
  <c r="AJ64" i="1"/>
  <c r="AJ68" i="33"/>
  <c r="AJ77" i="1"/>
  <c r="AJ133" i="27"/>
  <c r="AJ128" i="16"/>
  <c r="AJ141" i="32"/>
  <c r="AJ46" i="15"/>
  <c r="AJ45" i="16"/>
  <c r="J128" i="3"/>
  <c r="AJ104" i="33"/>
  <c r="AJ121" i="5"/>
  <c r="AJ51" i="15"/>
  <c r="AJ39" i="10"/>
  <c r="AJ107" i="7"/>
  <c r="AJ150" i="5"/>
  <c r="AJ33" i="23"/>
  <c r="AJ63" i="15"/>
  <c r="J76" i="5"/>
  <c r="AJ113" i="12"/>
  <c r="AJ140" i="5"/>
  <c r="AJ51" i="16"/>
  <c r="AJ120" i="27"/>
  <c r="AJ32" i="28"/>
  <c r="AJ59" i="16"/>
  <c r="AJ102" i="2"/>
  <c r="J100" i="23"/>
  <c r="AJ78" i="33"/>
  <c r="AJ82" i="6"/>
  <c r="AJ108" i="28"/>
  <c r="AJ41" i="23"/>
  <c r="AJ163" i="16"/>
  <c r="AJ147" i="23"/>
  <c r="AJ128" i="32"/>
  <c r="AJ32" i="10"/>
  <c r="AJ112" i="17"/>
  <c r="AJ108" i="27"/>
  <c r="AJ125" i="21"/>
  <c r="AJ31" i="19"/>
  <c r="AJ97" i="24"/>
  <c r="AJ153" i="11"/>
  <c r="AJ154" i="33"/>
  <c r="AJ172" i="11"/>
  <c r="AJ32" i="27"/>
  <c r="AJ98" i="6"/>
  <c r="J162" i="32"/>
  <c r="AJ81" i="19"/>
  <c r="AJ149" i="31"/>
  <c r="AJ58" i="15"/>
  <c r="AJ73" i="17"/>
  <c r="AJ113" i="4"/>
  <c r="AJ129" i="30"/>
  <c r="AJ103" i="31"/>
  <c r="AJ142" i="12"/>
  <c r="AJ17" i="11"/>
  <c r="AJ65" i="16"/>
  <c r="J148" i="10"/>
  <c r="J144"/>
  <c r="J142" i="26"/>
  <c r="J94" i="22"/>
  <c r="J49" i="19"/>
  <c r="J176" i="21"/>
  <c r="AJ121" i="24"/>
  <c r="J132" i="29"/>
  <c r="J135" i="4"/>
  <c r="J134" i="27"/>
  <c r="J152" i="7"/>
  <c r="J33" i="3"/>
  <c r="J132" i="30"/>
  <c r="AJ71" i="28"/>
  <c r="J92" i="7"/>
  <c r="AJ96" i="26"/>
  <c r="AJ121" i="20"/>
  <c r="J95" i="19"/>
  <c r="J78" i="23"/>
  <c r="AJ19" i="20"/>
  <c r="AJ47" i="2"/>
  <c r="J51" i="10"/>
  <c r="J23" i="12"/>
  <c r="J126" i="6"/>
  <c r="AJ92" i="18"/>
  <c r="J28" i="21"/>
  <c r="AJ128" i="20"/>
  <c r="J33" i="31"/>
  <c r="AJ106" i="4"/>
  <c r="AJ18" i="18"/>
  <c r="AJ46" i="12"/>
  <c r="AJ148" i="21"/>
  <c r="J109" i="22"/>
  <c r="AJ91" i="21"/>
  <c r="AJ149" i="2"/>
  <c r="AJ11" i="20"/>
  <c r="J86" i="17"/>
  <c r="AJ93" i="31"/>
  <c r="AJ134" i="23"/>
  <c r="AJ26" i="18"/>
  <c r="J53" i="33"/>
  <c r="AJ170" i="6"/>
  <c r="AJ127" i="3"/>
  <c r="AJ73" i="21"/>
  <c r="AJ159" i="12"/>
  <c r="AJ28" i="30"/>
  <c r="AJ103" i="33"/>
  <c r="AJ61" i="26"/>
  <c r="J71" i="23"/>
  <c r="J160" i="30"/>
  <c r="AJ107" i="24"/>
  <c r="AJ106" i="32"/>
  <c r="AJ99" i="17"/>
  <c r="AJ61"/>
  <c r="J110"/>
  <c r="AJ180" i="33"/>
  <c r="AJ9" i="11"/>
  <c r="J120" i="6"/>
  <c r="AJ105" i="10"/>
  <c r="AJ135" i="1"/>
  <c r="AJ19" i="33"/>
  <c r="AJ81" i="31"/>
  <c r="AJ171" i="33"/>
  <c r="J38" i="9"/>
  <c r="AJ74" i="24"/>
  <c r="AJ39" i="26"/>
  <c r="AJ107" i="5"/>
  <c r="J11" i="32"/>
  <c r="AJ147" i="29"/>
  <c r="AJ53" i="27"/>
  <c r="AJ35" i="32"/>
  <c r="AJ49" i="18"/>
  <c r="AJ18" i="30"/>
  <c r="AJ165" i="20"/>
  <c r="AJ134" i="19"/>
  <c r="AJ169" i="28"/>
  <c r="AJ60" i="3"/>
  <c r="AJ73" i="5"/>
  <c r="J179" i="2"/>
  <c r="AJ94" i="32"/>
  <c r="AJ48" i="28"/>
  <c r="AJ167" i="21"/>
  <c r="AJ50" i="4"/>
  <c r="AJ12" i="21"/>
  <c r="AJ46" i="4"/>
  <c r="AJ34" i="6"/>
  <c r="AJ128" i="5"/>
  <c r="J183" i="32"/>
  <c r="AJ60"/>
  <c r="AJ46" i="21"/>
  <c r="AJ147" i="1"/>
  <c r="AJ98" i="18"/>
  <c r="AJ11" i="29"/>
  <c r="J29" i="31"/>
  <c r="AJ127" i="24"/>
  <c r="AJ119" i="33"/>
  <c r="AJ12"/>
  <c r="AJ91" i="27"/>
  <c r="AJ170" i="22"/>
  <c r="J161" i="32"/>
  <c r="AJ130" i="6"/>
  <c r="AJ180" i="12"/>
  <c r="AJ35" i="9"/>
  <c r="AJ184" i="17"/>
  <c r="AJ19" i="5"/>
  <c r="AJ25" i="24"/>
  <c r="AJ102" i="18"/>
  <c r="AJ5" i="22"/>
  <c r="AJ8" i="33"/>
  <c r="AJ27" i="29"/>
  <c r="AJ113" i="19"/>
  <c r="AJ184" i="6"/>
  <c r="AJ58" i="26"/>
  <c r="AJ106"/>
  <c r="AJ153" i="7"/>
  <c r="AJ32" i="32"/>
  <c r="AJ31"/>
  <c r="AJ35" i="17"/>
  <c r="AJ51" i="29"/>
  <c r="AJ162" i="16"/>
  <c r="AJ37" i="9"/>
  <c r="AJ156" i="11"/>
  <c r="AJ85" i="28"/>
  <c r="AJ169" i="17"/>
  <c r="J111" i="23"/>
  <c r="AJ181" i="19"/>
  <c r="AJ74" i="15"/>
  <c r="AJ114" i="26"/>
  <c r="AJ110" i="27"/>
  <c r="J144" i="4"/>
  <c r="AJ59" i="6"/>
  <c r="J34" i="31"/>
  <c r="AJ158" i="21"/>
  <c r="AJ118" i="27"/>
  <c r="AJ19" i="31"/>
  <c r="AJ90" i="27"/>
  <c r="AJ180"/>
  <c r="AJ32" i="22"/>
  <c r="AJ172" i="3"/>
  <c r="AJ42" i="5"/>
  <c r="AJ163" i="10"/>
  <c r="J63" i="7"/>
  <c r="J157" i="6"/>
  <c r="J129" i="9"/>
  <c r="AJ110" i="21"/>
  <c r="AJ131" i="20"/>
  <c r="AJ20" i="17"/>
  <c r="AJ55" i="33"/>
  <c r="J145" i="7"/>
  <c r="AJ56" i="6"/>
  <c r="AJ105" i="16"/>
  <c r="J183" i="3"/>
  <c r="J58" i="22"/>
  <c r="J51" i="17"/>
  <c r="AJ10" i="19"/>
  <c r="AJ123"/>
  <c r="AJ110" i="9"/>
  <c r="J154" i="1"/>
  <c r="AJ92" i="22"/>
  <c r="AJ57" i="5"/>
  <c r="AJ88" i="2"/>
  <c r="AJ154" i="20"/>
  <c r="AJ162" i="31"/>
  <c r="J142" i="4"/>
  <c r="AJ181" i="11"/>
  <c r="J44" i="16"/>
  <c r="AJ177" i="1"/>
  <c r="AJ74" i="7"/>
  <c r="AJ60" i="6"/>
  <c r="AJ54" i="1"/>
  <c r="J45" i="11"/>
  <c r="AJ33" i="9"/>
  <c r="AJ50" i="1"/>
  <c r="AJ24" i="3"/>
  <c r="J86" i="31"/>
  <c r="AJ63" i="9"/>
  <c r="J28" i="16"/>
  <c r="J160" i="17"/>
  <c r="AJ16" i="6"/>
  <c r="AJ61" i="11"/>
  <c r="AJ125" i="7"/>
  <c r="AJ37" i="11"/>
  <c r="AJ47" i="6"/>
  <c r="AJ25" i="28"/>
  <c r="AJ12" i="6"/>
  <c r="AJ42" i="27"/>
  <c r="AJ103" i="11"/>
  <c r="AJ19" i="32"/>
  <c r="AJ185" i="31"/>
  <c r="AJ142" i="4"/>
  <c r="AJ104" i="19"/>
  <c r="AJ152" i="30"/>
  <c r="AJ77" i="3"/>
  <c r="AJ127" i="32"/>
  <c r="AJ91" i="4"/>
  <c r="AJ68" i="30"/>
  <c r="AJ31" i="22"/>
  <c r="AJ167" i="1"/>
  <c r="AJ143" i="30"/>
  <c r="AJ74" i="16"/>
  <c r="AJ167" i="32"/>
  <c r="AJ165" i="17"/>
  <c r="AJ72" i="10"/>
  <c r="AJ97" i="16"/>
  <c r="AJ85"/>
  <c r="AJ143" i="32"/>
  <c r="AJ164" i="15"/>
  <c r="J116" i="9"/>
  <c r="AJ169" i="27"/>
  <c r="AJ37" i="26"/>
  <c r="J137" i="27"/>
  <c r="AJ175" i="16"/>
  <c r="AJ167" i="18"/>
  <c r="AJ5" i="19"/>
  <c r="AJ138" i="7"/>
  <c r="AJ127" i="11"/>
  <c r="AJ117" i="17"/>
  <c r="AJ49" i="28"/>
  <c r="J123" i="19"/>
  <c r="AJ13" i="12"/>
  <c r="AJ149" i="27"/>
  <c r="AJ56" i="23"/>
  <c r="AJ103" i="16"/>
  <c r="AJ39" i="31"/>
  <c r="AJ33" i="19"/>
  <c r="J99" i="17"/>
  <c r="AJ12" i="5"/>
  <c r="AJ140" i="33"/>
  <c r="AJ84" i="12"/>
  <c r="AJ32" i="16"/>
  <c r="AJ133" i="26"/>
  <c r="AJ106" i="7"/>
  <c r="AJ166" i="15"/>
  <c r="AJ68" i="24"/>
  <c r="AJ102" i="5"/>
  <c r="AJ124" i="11"/>
  <c r="AJ83" i="16"/>
  <c r="J57" i="17"/>
  <c r="J78" i="16"/>
  <c r="AJ167" i="28"/>
  <c r="AJ7" i="23"/>
  <c r="AJ147" i="6"/>
  <c r="AJ145" i="27"/>
  <c r="J148" i="33"/>
  <c r="AJ48" i="9"/>
  <c r="AJ128" i="7"/>
  <c r="AJ112"/>
  <c r="AJ35" i="1"/>
  <c r="AJ177" i="17"/>
  <c r="AJ62" i="9"/>
  <c r="AJ52" i="16"/>
  <c r="AJ179" i="17"/>
  <c r="AJ28" i="5"/>
  <c r="AJ5" i="23"/>
  <c r="AJ113" i="16"/>
  <c r="AJ30" i="7"/>
  <c r="AJ69" i="19"/>
  <c r="AJ165" i="2"/>
  <c r="AJ39" i="32"/>
  <c r="AJ48" i="17"/>
  <c r="AJ166" i="19"/>
  <c r="AJ35" i="28"/>
  <c r="AJ59" i="22"/>
  <c r="AJ53" i="4"/>
  <c r="AJ107" i="17"/>
  <c r="AJ23" i="5"/>
  <c r="AJ20" i="27"/>
  <c r="AJ98" i="33"/>
  <c r="AJ118" i="11"/>
  <c r="AJ101" i="16"/>
  <c r="J20" i="5"/>
  <c r="AJ70" i="16"/>
  <c r="AJ16" i="19"/>
  <c r="AJ19" i="30"/>
  <c r="AJ75" i="19"/>
  <c r="AJ175" i="7"/>
  <c r="AJ62" i="32"/>
  <c r="AJ62" i="22"/>
  <c r="AJ170" i="19"/>
  <c r="J57" i="32"/>
  <c r="AJ68" i="7"/>
  <c r="AJ96" i="11"/>
  <c r="AJ65" i="5"/>
  <c r="AJ149" i="18"/>
  <c r="J54" i="30"/>
  <c r="AJ83" i="6"/>
  <c r="AJ49" i="10"/>
  <c r="AJ169" i="23"/>
  <c r="AJ18" i="15"/>
  <c r="AJ127" i="9"/>
  <c r="AJ115" i="29"/>
  <c r="AJ60" i="11"/>
  <c r="AJ99" i="26"/>
  <c r="AJ9" i="23"/>
  <c r="AJ156" i="12"/>
  <c r="AJ127" i="31"/>
  <c r="AJ128" i="30"/>
  <c r="AJ44" i="16"/>
  <c r="AJ110" i="4"/>
  <c r="AJ152" i="16"/>
  <c r="AJ111" i="1"/>
  <c r="AJ172" i="29"/>
  <c r="AJ75" i="2"/>
  <c r="AJ126" i="31"/>
  <c r="AJ173" i="30"/>
  <c r="AJ44" i="5"/>
  <c r="J184" i="30"/>
  <c r="AJ39" i="16"/>
  <c r="J52"/>
  <c r="AJ167" i="31"/>
  <c r="AJ120" i="18"/>
  <c r="AJ60" i="2"/>
  <c r="AJ10" i="23"/>
  <c r="AJ177" i="29"/>
  <c r="AJ42" i="16"/>
  <c r="AJ118" i="7"/>
  <c r="AJ15" i="4"/>
  <c r="J146" i="29"/>
  <c r="J183" i="16"/>
  <c r="J185" i="28"/>
  <c r="AJ96" i="12"/>
  <c r="AJ111" i="21"/>
  <c r="J68" i="6"/>
  <c r="J73" i="3"/>
  <c r="AJ176" i="2"/>
  <c r="AJ61" i="32"/>
  <c r="AJ104" i="26"/>
  <c r="J159" i="16"/>
  <c r="J94" i="32"/>
  <c r="AJ30" i="5"/>
  <c r="AJ167" i="29"/>
  <c r="AJ148"/>
  <c r="AJ9" i="33"/>
  <c r="J128" i="7"/>
  <c r="AJ128" i="27"/>
  <c r="AJ173" i="1"/>
  <c r="AJ81" i="4"/>
  <c r="J108" i="31"/>
  <c r="J85" i="4"/>
  <c r="AJ50" i="20"/>
  <c r="J125" i="5"/>
  <c r="AJ95" i="29"/>
  <c r="AJ158" i="12"/>
  <c r="AJ96" i="4"/>
  <c r="J179" i="11"/>
  <c r="AJ142"/>
  <c r="AJ139" i="15"/>
  <c r="AJ168" i="5"/>
  <c r="AJ93" i="4"/>
  <c r="AJ34" i="27"/>
  <c r="J114" i="5"/>
  <c r="AJ97" i="22"/>
  <c r="J179" i="9"/>
  <c r="AJ52" i="33"/>
  <c r="AJ8" i="7"/>
  <c r="AJ93" i="16"/>
  <c r="AJ154" i="28"/>
  <c r="AJ178"/>
  <c r="AJ53" i="11"/>
  <c r="AJ71" i="27"/>
  <c r="J155" i="5"/>
  <c r="AJ92" i="16"/>
  <c r="AJ46" i="6"/>
  <c r="AJ63" i="27"/>
  <c r="AJ129" i="2"/>
  <c r="AJ69" i="1"/>
  <c r="AJ42" i="23"/>
  <c r="AJ46" i="10"/>
  <c r="AJ180" i="9"/>
  <c r="AJ110" i="22"/>
  <c r="AJ60" i="16"/>
  <c r="AJ36" i="19"/>
  <c r="AJ113" i="29"/>
  <c r="AJ180" i="10"/>
  <c r="J42" i="6"/>
  <c r="AJ74" i="31"/>
  <c r="J5" i="20"/>
  <c r="AJ13" i="16"/>
  <c r="AJ149" i="26"/>
  <c r="AJ28" i="24"/>
  <c r="J134" i="33"/>
  <c r="AJ87" i="16"/>
  <c r="AJ133"/>
  <c r="AJ71"/>
  <c r="AJ25" i="29"/>
  <c r="J96" i="19"/>
  <c r="J137" i="6"/>
  <c r="AJ122" i="16"/>
  <c r="AJ100"/>
  <c r="J93" i="5"/>
  <c r="AJ105" i="17"/>
  <c r="AJ164" i="27"/>
  <c r="AJ19" i="19"/>
  <c r="AJ81" i="12"/>
  <c r="AJ24" i="11"/>
  <c r="AJ153" i="16"/>
  <c r="AJ95" i="1"/>
  <c r="AJ11" i="2"/>
  <c r="AJ149" i="19"/>
  <c r="J14" i="33"/>
  <c r="AJ67" i="32"/>
  <c r="AJ155" i="18"/>
  <c r="AJ4" i="6"/>
  <c r="J150" i="16"/>
  <c r="J169" i="1"/>
  <c r="AJ19" i="17"/>
  <c r="AJ24" i="16"/>
  <c r="AJ66" i="3"/>
  <c r="AJ72" i="18"/>
  <c r="AJ15" i="23"/>
  <c r="J122" i="3"/>
  <c r="AJ64" i="28"/>
  <c r="AJ35" i="19"/>
  <c r="AJ187" i="16" l="1"/>
  <c r="AJ1" s="1"/>
  <c r="AJ187" i="11"/>
  <c r="AJ1" s="1"/>
  <c r="AJ187" i="15"/>
  <c r="AJ1" s="1"/>
  <c r="AJ187" i="19"/>
  <c r="AJ1" s="1"/>
  <c r="AJ187" i="1"/>
  <c r="AJ1" s="1"/>
  <c r="AJ187" i="27"/>
  <c r="AJ1" s="1"/>
  <c r="AJ187" i="9"/>
  <c r="AJ1" s="1"/>
  <c r="AJ187" i="31"/>
  <c r="AJ1" s="1"/>
  <c r="AJ187" i="6"/>
  <c r="AJ1" s="1"/>
  <c r="AJ187" i="30"/>
  <c r="AJ1" s="1"/>
  <c r="AJ187" i="32"/>
  <c r="AJ1" s="1"/>
  <c r="AJ187" i="5"/>
  <c r="AJ1" s="1"/>
  <c r="AJ187" i="17"/>
  <c r="AJ1" s="1"/>
  <c r="AJ187" i="22"/>
  <c r="AJ1" s="1"/>
  <c r="AJ187" i="23"/>
  <c r="AJ1" s="1"/>
  <c r="AJ187" i="3"/>
  <c r="AJ1" s="1"/>
  <c r="AJ187" i="7"/>
  <c r="AJ1" s="1"/>
  <c r="AJ187" i="33"/>
  <c r="AJ1" s="1"/>
  <c r="AJ187" i="10"/>
  <c r="AJ1" s="1"/>
  <c r="AJ187" i="29"/>
  <c r="AJ1" s="1"/>
  <c r="AJ187" i="28"/>
  <c r="AJ1" s="1"/>
  <c r="AJ187" i="20"/>
  <c r="AJ1" s="1"/>
  <c r="AJ187" i="18"/>
  <c r="AJ1" s="1"/>
  <c r="AJ187" i="4"/>
  <c r="AJ1" s="1"/>
  <c r="AJ187" i="2"/>
  <c r="AJ1" s="1"/>
  <c r="AJ187" i="21"/>
  <c r="AJ1" s="1"/>
  <c r="AJ187" i="12"/>
  <c r="AJ1" s="1"/>
  <c r="AJ187" i="26"/>
  <c r="AJ1" s="1"/>
  <c r="AJ187" i="24"/>
  <c r="AJ1" s="1"/>
  <c r="AD21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26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12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21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2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4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18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20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28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25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29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10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33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7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3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23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22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I185" i="7"/>
  <c r="H185"/>
  <c r="G185"/>
  <c r="F185"/>
  <c r="E185"/>
  <c r="I184"/>
  <c r="H184"/>
  <c r="G184"/>
  <c r="F184"/>
  <c r="E184"/>
  <c r="I183"/>
  <c r="H183"/>
  <c r="G183"/>
  <c r="F183"/>
  <c r="E183"/>
  <c r="I182"/>
  <c r="H182"/>
  <c r="G182"/>
  <c r="F182"/>
  <c r="E182"/>
  <c r="I181"/>
  <c r="H181"/>
  <c r="G181"/>
  <c r="F181"/>
  <c r="E181"/>
  <c r="I180"/>
  <c r="H180"/>
  <c r="G180"/>
  <c r="F180"/>
  <c r="E180"/>
  <c r="I179"/>
  <c r="H179"/>
  <c r="G179"/>
  <c r="F179"/>
  <c r="E179"/>
  <c r="I178"/>
  <c r="H178"/>
  <c r="G178"/>
  <c r="F178"/>
  <c r="E178"/>
  <c r="I177"/>
  <c r="H177"/>
  <c r="G177"/>
  <c r="F177"/>
  <c r="E177"/>
  <c r="I176"/>
  <c r="H176"/>
  <c r="G176"/>
  <c r="F176"/>
  <c r="E176"/>
  <c r="I174"/>
  <c r="H174"/>
  <c r="G174"/>
  <c r="F174"/>
  <c r="E174"/>
  <c r="I173"/>
  <c r="H173"/>
  <c r="G173"/>
  <c r="F173"/>
  <c r="E173"/>
  <c r="I172"/>
  <c r="H172"/>
  <c r="G172"/>
  <c r="F172"/>
  <c r="E172"/>
  <c r="I171"/>
  <c r="H171"/>
  <c r="G171"/>
  <c r="F171"/>
  <c r="E171"/>
  <c r="I170"/>
  <c r="H170"/>
  <c r="G170"/>
  <c r="F170"/>
  <c r="E170"/>
  <c r="I169"/>
  <c r="H169"/>
  <c r="G169"/>
  <c r="F169"/>
  <c r="E169"/>
  <c r="I168"/>
  <c r="H168"/>
  <c r="G168"/>
  <c r="F168"/>
  <c r="E168"/>
  <c r="I167"/>
  <c r="H167"/>
  <c r="G167"/>
  <c r="F167"/>
  <c r="E167"/>
  <c r="I166"/>
  <c r="H166"/>
  <c r="G166"/>
  <c r="F166"/>
  <c r="E166"/>
  <c r="I165"/>
  <c r="H165"/>
  <c r="G165"/>
  <c r="F165"/>
  <c r="E165"/>
  <c r="I163"/>
  <c r="H163"/>
  <c r="G163"/>
  <c r="F163"/>
  <c r="E163"/>
  <c r="I162"/>
  <c r="H162"/>
  <c r="G162"/>
  <c r="F162"/>
  <c r="E162"/>
  <c r="I161"/>
  <c r="H161"/>
  <c r="G161"/>
  <c r="F161"/>
  <c r="E161"/>
  <c r="I160"/>
  <c r="H160"/>
  <c r="G160"/>
  <c r="F160"/>
  <c r="E160"/>
  <c r="I159"/>
  <c r="H159"/>
  <c r="G159"/>
  <c r="F159"/>
  <c r="E159"/>
  <c r="I158"/>
  <c r="H158"/>
  <c r="G158"/>
  <c r="F158"/>
  <c r="E158"/>
  <c r="I157"/>
  <c r="H157"/>
  <c r="G157"/>
  <c r="F157"/>
  <c r="E157"/>
  <c r="I155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I147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I139"/>
  <c r="H139"/>
  <c r="G139"/>
  <c r="F139"/>
  <c r="E139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I131"/>
  <c r="H131"/>
  <c r="G131"/>
  <c r="F131"/>
  <c r="E131"/>
  <c r="I130"/>
  <c r="H130"/>
  <c r="G130"/>
  <c r="F130"/>
  <c r="E130"/>
  <c r="I129"/>
  <c r="H129"/>
  <c r="G129"/>
  <c r="F129"/>
  <c r="E129"/>
  <c r="I128"/>
  <c r="H128"/>
  <c r="G128"/>
  <c r="F128"/>
  <c r="E128"/>
  <c r="I127"/>
  <c r="H127"/>
  <c r="G127"/>
  <c r="F127"/>
  <c r="E127"/>
  <c r="I126"/>
  <c r="H126"/>
  <c r="G126"/>
  <c r="F126"/>
  <c r="E126"/>
  <c r="I125"/>
  <c r="H125"/>
  <c r="G125"/>
  <c r="F125"/>
  <c r="E125"/>
  <c r="I123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I115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I107"/>
  <c r="H107"/>
  <c r="G107"/>
  <c r="F107"/>
  <c r="E107"/>
  <c r="I106"/>
  <c r="H106"/>
  <c r="G106"/>
  <c r="F106"/>
  <c r="E106"/>
  <c r="I102"/>
  <c r="H102"/>
  <c r="G102"/>
  <c r="F102"/>
  <c r="E102"/>
  <c r="I101"/>
  <c r="H101"/>
  <c r="G101"/>
  <c r="F101"/>
  <c r="E101"/>
  <c r="I100"/>
  <c r="H100"/>
  <c r="G100"/>
  <c r="F100"/>
  <c r="E100"/>
  <c r="I99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I91"/>
  <c r="H91"/>
  <c r="G91"/>
  <c r="F91"/>
  <c r="E91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H84"/>
  <c r="G84"/>
  <c r="F84"/>
  <c r="E84"/>
  <c r="I82"/>
  <c r="H82"/>
  <c r="G82"/>
  <c r="F82"/>
  <c r="E82"/>
  <c r="I81"/>
  <c r="H81"/>
  <c r="G81"/>
  <c r="F81"/>
  <c r="E81"/>
  <c r="I80"/>
  <c r="H80"/>
  <c r="G80"/>
  <c r="F80"/>
  <c r="E80"/>
  <c r="I79"/>
  <c r="H79"/>
  <c r="G79"/>
  <c r="F79"/>
  <c r="E79"/>
  <c r="I78"/>
  <c r="H78"/>
  <c r="G78"/>
  <c r="F78"/>
  <c r="E78"/>
  <c r="I77"/>
  <c r="H77"/>
  <c r="G77"/>
  <c r="F77"/>
  <c r="E77"/>
  <c r="I76"/>
  <c r="H76"/>
  <c r="G76"/>
  <c r="F76"/>
  <c r="E76"/>
  <c r="I75"/>
  <c r="H75"/>
  <c r="G75"/>
  <c r="F75"/>
  <c r="E75"/>
  <c r="I74"/>
  <c r="H74"/>
  <c r="G74"/>
  <c r="F74"/>
  <c r="E74"/>
  <c r="I73"/>
  <c r="H73"/>
  <c r="G73"/>
  <c r="F73"/>
  <c r="E73"/>
  <c r="I72"/>
  <c r="H72"/>
  <c r="G72"/>
  <c r="F72"/>
  <c r="E72"/>
  <c r="I71"/>
  <c r="H71"/>
  <c r="G71"/>
  <c r="F71"/>
  <c r="E71"/>
  <c r="I69"/>
  <c r="H69"/>
  <c r="G69"/>
  <c r="F69"/>
  <c r="E69"/>
  <c r="I68"/>
  <c r="H68"/>
  <c r="G68"/>
  <c r="F68"/>
  <c r="E68"/>
  <c r="I67"/>
  <c r="H67"/>
  <c r="G67"/>
  <c r="F67"/>
  <c r="E67"/>
  <c r="I66"/>
  <c r="H66"/>
  <c r="G66"/>
  <c r="F66"/>
  <c r="E66"/>
  <c r="I65"/>
  <c r="H65"/>
  <c r="G65"/>
  <c r="F65"/>
  <c r="E65"/>
  <c r="I64"/>
  <c r="H64"/>
  <c r="G64"/>
  <c r="F64"/>
  <c r="E64"/>
  <c r="I63"/>
  <c r="H63"/>
  <c r="G63"/>
  <c r="F63"/>
  <c r="E63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7"/>
  <c r="H47"/>
  <c r="G47"/>
  <c r="F47"/>
  <c r="E47"/>
  <c r="I46"/>
  <c r="H46"/>
  <c r="G46"/>
  <c r="F46"/>
  <c r="E46"/>
  <c r="I45"/>
  <c r="H45"/>
  <c r="G45"/>
  <c r="F45"/>
  <c r="E45"/>
  <c r="I44"/>
  <c r="H44"/>
  <c r="G44"/>
  <c r="F44"/>
  <c r="E44"/>
  <c r="I43"/>
  <c r="H43"/>
  <c r="G43"/>
  <c r="F43"/>
  <c r="E43"/>
  <c r="I42"/>
  <c r="H42"/>
  <c r="G42"/>
  <c r="F42"/>
  <c r="E42"/>
  <c r="I40"/>
  <c r="H40"/>
  <c r="G40"/>
  <c r="F40"/>
  <c r="E40"/>
  <c r="I39"/>
  <c r="H39"/>
  <c r="G39"/>
  <c r="F39"/>
  <c r="E39"/>
  <c r="I38"/>
  <c r="H38"/>
  <c r="G38"/>
  <c r="F38"/>
  <c r="E38"/>
  <c r="I37"/>
  <c r="H37"/>
  <c r="G37"/>
  <c r="F37"/>
  <c r="E37"/>
  <c r="I36"/>
  <c r="H36"/>
  <c r="G36"/>
  <c r="F36"/>
  <c r="E36"/>
  <c r="I35"/>
  <c r="H35"/>
  <c r="G35"/>
  <c r="F35"/>
  <c r="E35"/>
  <c r="I34"/>
  <c r="H34"/>
  <c r="G34"/>
  <c r="F34"/>
  <c r="E34"/>
  <c r="I33"/>
  <c r="H33"/>
  <c r="G33"/>
  <c r="F33"/>
  <c r="E33"/>
  <c r="I31"/>
  <c r="H31"/>
  <c r="G31"/>
  <c r="F31"/>
  <c r="E31"/>
  <c r="I30"/>
  <c r="H30"/>
  <c r="G30"/>
  <c r="F30"/>
  <c r="E30"/>
  <c r="I29"/>
  <c r="H29"/>
  <c r="G29"/>
  <c r="F29"/>
  <c r="E29"/>
  <c r="I28"/>
  <c r="H28"/>
  <c r="G28"/>
  <c r="F28"/>
  <c r="E28"/>
  <c r="I26"/>
  <c r="H26"/>
  <c r="G26"/>
  <c r="F26"/>
  <c r="E26"/>
  <c r="I25"/>
  <c r="H25"/>
  <c r="G25"/>
  <c r="F25"/>
  <c r="E25"/>
  <c r="I24"/>
  <c r="H24"/>
  <c r="G24"/>
  <c r="F24"/>
  <c r="E24"/>
  <c r="I23"/>
  <c r="H23"/>
  <c r="G23"/>
  <c r="F23"/>
  <c r="E23"/>
  <c r="I21"/>
  <c r="H21"/>
  <c r="G21"/>
  <c r="F21"/>
  <c r="E21"/>
  <c r="I20"/>
  <c r="H20"/>
  <c r="G20"/>
  <c r="F20"/>
  <c r="E20"/>
  <c r="I19"/>
  <c r="H19"/>
  <c r="G19"/>
  <c r="F19"/>
  <c r="E19"/>
  <c r="I18"/>
  <c r="H18"/>
  <c r="G18"/>
  <c r="F18"/>
  <c r="E18"/>
  <c r="I16"/>
  <c r="H16"/>
  <c r="G16"/>
  <c r="F16"/>
  <c r="E16"/>
  <c r="I15"/>
  <c r="H15"/>
  <c r="G15"/>
  <c r="F15"/>
  <c r="E15"/>
  <c r="I14"/>
  <c r="H14"/>
  <c r="G14"/>
  <c r="F14"/>
  <c r="E14"/>
  <c r="I13"/>
  <c r="H13"/>
  <c r="G13"/>
  <c r="F13"/>
  <c r="E13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I6"/>
  <c r="H6"/>
  <c r="G6"/>
  <c r="F6"/>
  <c r="E6"/>
  <c r="I5"/>
  <c r="H5"/>
  <c r="G5"/>
  <c r="F5"/>
  <c r="E5"/>
  <c r="I4"/>
  <c r="H4"/>
  <c r="G4"/>
  <c r="F4"/>
  <c r="E4"/>
  <c r="I3"/>
  <c r="H3"/>
  <c r="G3"/>
  <c r="F3"/>
  <c r="E3"/>
  <c r="AD21" i="17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5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32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30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6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31" l="1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E21" i="9"/>
  <c r="AD21"/>
  <c r="AC21"/>
  <c r="AB21"/>
  <c r="X21"/>
  <c r="W21"/>
  <c r="U21"/>
  <c r="T21"/>
  <c r="AE20"/>
  <c r="AD20"/>
  <c r="AC20"/>
  <c r="AB20"/>
  <c r="X20"/>
  <c r="W20"/>
  <c r="U20"/>
  <c r="T20"/>
  <c r="AE19"/>
  <c r="AD19"/>
  <c r="AC19"/>
  <c r="AB19"/>
  <c r="X19"/>
  <c r="W19"/>
  <c r="U19"/>
  <c r="T19"/>
  <c r="AE18"/>
  <c r="AD18"/>
  <c r="AC18"/>
  <c r="AB18"/>
  <c r="X18"/>
  <c r="W18"/>
  <c r="U18"/>
  <c r="T18"/>
  <c r="AE17"/>
  <c r="AD17"/>
  <c r="AC17"/>
  <c r="AB17"/>
  <c r="X17"/>
  <c r="W17"/>
  <c r="U17"/>
  <c r="T17"/>
  <c r="AE16"/>
  <c r="AD16"/>
  <c r="AC16"/>
  <c r="AB16"/>
  <c r="X16"/>
  <c r="W16"/>
  <c r="U16"/>
  <c r="T16"/>
  <c r="AE15"/>
  <c r="AD15"/>
  <c r="AC15"/>
  <c r="AB15"/>
  <c r="X15"/>
  <c r="W15"/>
  <c r="U15"/>
  <c r="T15"/>
  <c r="AE14"/>
  <c r="AD14"/>
  <c r="AC14"/>
  <c r="AB14"/>
  <c r="X14"/>
  <c r="W14"/>
  <c r="U14"/>
  <c r="T14"/>
  <c r="AE13"/>
  <c r="AD13"/>
  <c r="AC13"/>
  <c r="AB13"/>
  <c r="X13"/>
  <c r="W13"/>
  <c r="U13"/>
  <c r="T13"/>
  <c r="AE12"/>
  <c r="AD12"/>
  <c r="AC12"/>
  <c r="AB12"/>
  <c r="X12"/>
  <c r="W12"/>
  <c r="U12"/>
  <c r="T12"/>
  <c r="AE11"/>
  <c r="AD11"/>
  <c r="AC11"/>
  <c r="AB11"/>
  <c r="X11"/>
  <c r="W11"/>
  <c r="U11"/>
  <c r="T11"/>
  <c r="AE10"/>
  <c r="AD10"/>
  <c r="AC10"/>
  <c r="AB10"/>
  <c r="X10"/>
  <c r="W10"/>
  <c r="U10"/>
  <c r="T10"/>
  <c r="AE9"/>
  <c r="AD9"/>
  <c r="AC9"/>
  <c r="AB9"/>
  <c r="X9"/>
  <c r="W9"/>
  <c r="U9"/>
  <c r="T9"/>
  <c r="AE8"/>
  <c r="AD8"/>
  <c r="AC8"/>
  <c r="AB8"/>
  <c r="X8"/>
  <c r="W8"/>
  <c r="U8"/>
  <c r="T8"/>
  <c r="AE7"/>
  <c r="AD7"/>
  <c r="AC7"/>
  <c r="AB7"/>
  <c r="X7"/>
  <c r="W7"/>
  <c r="U7"/>
  <c r="T7"/>
  <c r="AE6"/>
  <c r="AD6"/>
  <c r="AC6"/>
  <c r="AB6"/>
  <c r="X6"/>
  <c r="W6"/>
  <c r="U6"/>
  <c r="T6"/>
  <c r="AE5"/>
  <c r="AD5"/>
  <c r="AC5"/>
  <c r="AB5"/>
  <c r="X5"/>
  <c r="W5"/>
  <c r="U5"/>
  <c r="T5"/>
  <c r="AE4"/>
  <c r="AD4"/>
  <c r="AC4"/>
  <c r="AB4"/>
  <c r="X4"/>
  <c r="W4"/>
  <c r="U4"/>
  <c r="T4"/>
  <c r="AE3"/>
  <c r="AD3"/>
  <c r="AC3"/>
  <c r="AB3"/>
  <c r="X3"/>
  <c r="W3"/>
  <c r="U3"/>
  <c r="T3"/>
  <c r="AD21" i="27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AC3"/>
  <c r="AB3"/>
  <c r="X3"/>
  <c r="W3"/>
  <c r="U3"/>
  <c r="T3"/>
  <c r="AD21" i="1" l="1"/>
  <c r="AC21"/>
  <c r="AB21"/>
  <c r="X21"/>
  <c r="W21"/>
  <c r="U21"/>
  <c r="T21"/>
  <c r="AD20"/>
  <c r="AC20"/>
  <c r="AB20"/>
  <c r="X20"/>
  <c r="W20"/>
  <c r="U20"/>
  <c r="T20"/>
  <c r="AD19"/>
  <c r="AC19"/>
  <c r="AB19"/>
  <c r="X19"/>
  <c r="W19"/>
  <c r="U19"/>
  <c r="T19"/>
  <c r="AD18"/>
  <c r="AC18"/>
  <c r="AB18"/>
  <c r="X18"/>
  <c r="W18"/>
  <c r="U18"/>
  <c r="T18"/>
  <c r="AD17"/>
  <c r="AC17"/>
  <c r="AB17"/>
  <c r="X17"/>
  <c r="W17"/>
  <c r="U17"/>
  <c r="T17"/>
  <c r="AD16"/>
  <c r="AC16"/>
  <c r="AB16"/>
  <c r="X16"/>
  <c r="W16"/>
  <c r="U16"/>
  <c r="T16"/>
  <c r="AD15"/>
  <c r="AC15"/>
  <c r="AB15"/>
  <c r="X15"/>
  <c r="W15"/>
  <c r="U15"/>
  <c r="T15"/>
  <c r="AD14"/>
  <c r="AC14"/>
  <c r="AB14"/>
  <c r="X14"/>
  <c r="W14"/>
  <c r="U14"/>
  <c r="T14"/>
  <c r="AD13"/>
  <c r="AC13"/>
  <c r="AB13"/>
  <c r="X13"/>
  <c r="W13"/>
  <c r="U13"/>
  <c r="T13"/>
  <c r="AD12"/>
  <c r="AC12"/>
  <c r="AB12"/>
  <c r="X12"/>
  <c r="W12"/>
  <c r="U12"/>
  <c r="T12"/>
  <c r="AD11"/>
  <c r="AC11"/>
  <c r="AB11"/>
  <c r="X11"/>
  <c r="W11"/>
  <c r="U11"/>
  <c r="T11"/>
  <c r="AD10"/>
  <c r="AC10"/>
  <c r="AB10"/>
  <c r="X10"/>
  <c r="W10"/>
  <c r="U10"/>
  <c r="T10"/>
  <c r="AD9"/>
  <c r="AC9"/>
  <c r="AB9"/>
  <c r="X9"/>
  <c r="W9"/>
  <c r="U9"/>
  <c r="T9"/>
  <c r="AD8"/>
  <c r="AC8"/>
  <c r="AB8"/>
  <c r="X8"/>
  <c r="W8"/>
  <c r="U8"/>
  <c r="T8"/>
  <c r="AD7"/>
  <c r="AC7"/>
  <c r="AB7"/>
  <c r="X7"/>
  <c r="W7"/>
  <c r="U7"/>
  <c r="T7"/>
  <c r="AD6"/>
  <c r="AC6"/>
  <c r="AB6"/>
  <c r="X6"/>
  <c r="W6"/>
  <c r="U6"/>
  <c r="T6"/>
  <c r="AD5"/>
  <c r="AC5"/>
  <c r="AB5"/>
  <c r="X5"/>
  <c r="W5"/>
  <c r="U5"/>
  <c r="T5"/>
  <c r="AD4"/>
  <c r="AC4"/>
  <c r="AB4"/>
  <c r="X4"/>
  <c r="W4"/>
  <c r="U4"/>
  <c r="T4"/>
  <c r="AD3"/>
  <c r="I3" s="1"/>
  <c r="AC3"/>
  <c r="H3" s="1"/>
  <c r="AB3"/>
  <c r="G3" s="1"/>
  <c r="X3"/>
  <c r="W3"/>
  <c r="F3" s="1"/>
  <c r="U3"/>
  <c r="E3" s="1"/>
  <c r="T3"/>
  <c r="AD21" i="19"/>
  <c r="AD20"/>
  <c r="AD19"/>
  <c r="AD18"/>
  <c r="AD17"/>
  <c r="AD16"/>
  <c r="AD15"/>
  <c r="AD14"/>
  <c r="AD13"/>
  <c r="AD12"/>
  <c r="AD11"/>
  <c r="AD10"/>
  <c r="AD9"/>
  <c r="AD8"/>
  <c r="AD7"/>
  <c r="AD6"/>
  <c r="AD5"/>
  <c r="AD4"/>
  <c r="AD3"/>
  <c r="I3" s="1"/>
  <c r="AC21"/>
  <c r="AC20"/>
  <c r="AC19"/>
  <c r="AC18"/>
  <c r="AC17"/>
  <c r="AC16"/>
  <c r="AC15"/>
  <c r="AC14"/>
  <c r="AC13"/>
  <c r="AC12"/>
  <c r="AC11"/>
  <c r="AC10"/>
  <c r="AC9"/>
  <c r="AC8"/>
  <c r="AC7"/>
  <c r="AC6"/>
  <c r="AC5"/>
  <c r="AC4"/>
  <c r="AC3"/>
  <c r="H3" s="1"/>
  <c r="AB21"/>
  <c r="AB20"/>
  <c r="AB19"/>
  <c r="AB18"/>
  <c r="AB17"/>
  <c r="AB16"/>
  <c r="AB15"/>
  <c r="AB14"/>
  <c r="AB13"/>
  <c r="AB12"/>
  <c r="AB11"/>
  <c r="AB10"/>
  <c r="AB9"/>
  <c r="AB8"/>
  <c r="AB7"/>
  <c r="AB6"/>
  <c r="AB5"/>
  <c r="AB4"/>
  <c r="AB3"/>
  <c r="G3" s="1"/>
  <c r="X21"/>
  <c r="X20"/>
  <c r="X19"/>
  <c r="X18"/>
  <c r="X17"/>
  <c r="X16"/>
  <c r="X15"/>
  <c r="X14"/>
  <c r="X13"/>
  <c r="X12"/>
  <c r="X11"/>
  <c r="X10"/>
  <c r="X9"/>
  <c r="X8"/>
  <c r="X7"/>
  <c r="X6"/>
  <c r="X5"/>
  <c r="X4"/>
  <c r="X3"/>
  <c r="W21"/>
  <c r="W20"/>
  <c r="W19"/>
  <c r="W18"/>
  <c r="W17"/>
  <c r="W16"/>
  <c r="W15"/>
  <c r="W14"/>
  <c r="W13"/>
  <c r="W12"/>
  <c r="W11"/>
  <c r="W10"/>
  <c r="W9"/>
  <c r="W8"/>
  <c r="W7"/>
  <c r="W6"/>
  <c r="W5"/>
  <c r="W4"/>
  <c r="W3"/>
  <c r="F3" s="1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E3" s="1"/>
  <c r="T21"/>
  <c r="T20"/>
  <c r="T19"/>
  <c r="T18"/>
  <c r="T17"/>
  <c r="T16"/>
  <c r="T15"/>
  <c r="T14"/>
  <c r="T13"/>
  <c r="T12"/>
  <c r="T11"/>
  <c r="T10"/>
  <c r="T9"/>
  <c r="T8"/>
  <c r="T7"/>
  <c r="T6"/>
  <c r="T5"/>
  <c r="T4"/>
  <c r="T3"/>
  <c r="L112" i="17"/>
  <c r="L98" i="10"/>
  <c r="O159" i="29"/>
  <c r="O178" i="4"/>
  <c r="M67" i="17"/>
  <c r="M151" i="4"/>
  <c r="M9" i="5"/>
  <c r="O119" i="28"/>
  <c r="O96" i="18"/>
  <c r="N58" i="2"/>
  <c r="K174" i="10"/>
  <c r="N98" i="16"/>
  <c r="K155" i="20"/>
  <c r="L23" i="24"/>
  <c r="N172" i="29"/>
  <c r="K182" i="20"/>
  <c r="L49" i="26"/>
  <c r="K85" i="4"/>
  <c r="M147" i="12"/>
  <c r="O155" i="25"/>
  <c r="O133" i="4"/>
  <c r="L14" i="12"/>
  <c r="K154" i="6"/>
  <c r="O125" i="1"/>
  <c r="O97" i="12"/>
  <c r="K167"/>
  <c r="M149" i="26"/>
  <c r="N147" i="21"/>
  <c r="K98" i="29"/>
  <c r="N180"/>
  <c r="N73" i="11"/>
  <c r="K60" i="1"/>
  <c r="L66" i="2"/>
  <c r="K153" i="21"/>
  <c r="K165" i="18"/>
  <c r="L134" i="24"/>
  <c r="O183" i="2"/>
  <c r="O68" i="29"/>
  <c r="N40" i="2"/>
  <c r="L161" i="32"/>
  <c r="K137" i="20"/>
  <c r="N177" i="11"/>
  <c r="L126" i="16"/>
  <c r="M169" i="26"/>
  <c r="N174" i="24"/>
  <c r="N47" i="27"/>
  <c r="N146" i="26"/>
  <c r="L171" i="27"/>
  <c r="M28" i="28"/>
  <c r="O54" i="2"/>
  <c r="O135" i="6"/>
  <c r="K72" i="2"/>
  <c r="K71" i="28"/>
  <c r="L137" i="17"/>
  <c r="M77" i="2"/>
  <c r="M133" i="9"/>
  <c r="L40" i="30"/>
  <c r="N5" i="25"/>
  <c r="N111" i="21"/>
  <c r="O16" i="2"/>
  <c r="N64" i="26"/>
  <c r="O19" i="15"/>
  <c r="N9" i="26"/>
  <c r="M95" i="1"/>
  <c r="M109" i="2"/>
  <c r="M176" i="24"/>
  <c r="L149" i="6"/>
  <c r="N106" i="4"/>
  <c r="N34" i="28"/>
  <c r="M50" i="25"/>
  <c r="L184" i="2"/>
  <c r="M65" i="24"/>
  <c r="K82" i="18"/>
  <c r="M136" i="11"/>
  <c r="O101" i="24"/>
  <c r="K57" i="29"/>
  <c r="K51" i="12"/>
  <c r="N36" i="24"/>
  <c r="L152" i="4"/>
  <c r="M68" i="20"/>
  <c r="N20" i="21"/>
  <c r="O102" i="20"/>
  <c r="O178" i="16"/>
  <c r="L174" i="4"/>
  <c r="L137" i="23"/>
  <c r="L108" i="16"/>
  <c r="L177" i="22"/>
  <c r="K6" i="10"/>
  <c r="M87" i="18"/>
  <c r="N183" i="4"/>
  <c r="O159" i="12"/>
  <c r="K144" i="10"/>
  <c r="K42" i="28"/>
  <c r="O110" i="18"/>
  <c r="O106" i="12"/>
  <c r="N25" i="2"/>
  <c r="O3" i="4"/>
  <c r="N110" i="27"/>
  <c r="L132" i="29"/>
  <c r="K133" i="1"/>
  <c r="O88" i="2"/>
  <c r="L151" i="21"/>
  <c r="N50" i="20"/>
  <c r="M24" i="1"/>
  <c r="N185" i="4"/>
  <c r="N80" i="2"/>
  <c r="O45" i="12"/>
  <c r="K77" i="17"/>
  <c r="M91" i="12"/>
  <c r="M119" i="2"/>
  <c r="M132" i="28"/>
  <c r="K64" i="17"/>
  <c r="L144" i="4"/>
  <c r="N96" i="25"/>
  <c r="K119" i="18"/>
  <c r="N89"/>
  <c r="N81" i="6"/>
  <c r="O133" i="20"/>
  <c r="N125" i="3"/>
  <c r="K5" i="4"/>
  <c r="O112" i="12"/>
  <c r="M179" i="15"/>
  <c r="O100" i="19"/>
  <c r="L78" i="28"/>
  <c r="M94" i="16"/>
  <c r="K82" i="26"/>
  <c r="N101" i="3"/>
  <c r="K56" i="11"/>
  <c r="L42" i="15"/>
  <c r="K132" i="27"/>
  <c r="L13" i="11"/>
  <c r="O146" i="16"/>
  <c r="L5" i="21"/>
  <c r="N38" i="18"/>
  <c r="O52" i="26"/>
  <c r="N59" i="24"/>
  <c r="L136" i="2"/>
  <c r="M173" i="10"/>
  <c r="K97" i="29"/>
  <c r="O78" i="24"/>
  <c r="L51" i="2"/>
  <c r="M34" i="16"/>
  <c r="N180" i="5"/>
  <c r="N4" i="21"/>
  <c r="N119" i="10"/>
  <c r="O13" i="31"/>
  <c r="K59" i="18"/>
  <c r="O128" i="20"/>
  <c r="L78" i="10"/>
  <c r="O149" i="21"/>
  <c r="O51"/>
  <c r="K74" i="29"/>
  <c r="N43" i="11"/>
  <c r="N38" i="2"/>
  <c r="L13" i="12"/>
  <c r="K92" i="19"/>
  <c r="K59" i="4"/>
  <c r="M179" i="5"/>
  <c r="N85" i="33"/>
  <c r="M45" i="18"/>
  <c r="M86" i="2"/>
  <c r="K130" i="11"/>
  <c r="M65" i="10"/>
  <c r="M121" i="18"/>
  <c r="N97" i="2"/>
  <c r="N87" i="32"/>
  <c r="N72" i="5"/>
  <c r="O56" i="25"/>
  <c r="O180" i="21"/>
  <c r="M100" i="16"/>
  <c r="O185" i="4"/>
  <c r="M177" i="25"/>
  <c r="N114" i="21"/>
  <c r="K43" i="23"/>
  <c r="O30" i="12"/>
  <c r="M159" i="29"/>
  <c r="M135" i="4"/>
  <c r="L21" i="28"/>
  <c r="O144" i="10"/>
  <c r="O167" i="6"/>
  <c r="M9" i="4"/>
  <c r="K174" i="2"/>
  <c r="O43" i="28"/>
  <c r="N61" i="4"/>
  <c r="O125" i="28"/>
  <c r="L51" i="3"/>
  <c r="L66" i="27"/>
  <c r="N92" i="4"/>
  <c r="O119" i="22"/>
  <c r="L160" i="18"/>
  <c r="M20" i="30"/>
  <c r="M118" i="21"/>
  <c r="M176" i="29"/>
  <c r="N42" i="2"/>
  <c r="M141" i="20"/>
  <c r="M92" i="12"/>
  <c r="O148" i="21"/>
  <c r="O95" i="29"/>
  <c r="M38" i="9"/>
  <c r="M80" i="12"/>
  <c r="O115" i="10"/>
  <c r="N108" i="26"/>
  <c r="K14" i="24"/>
  <c r="K172" i="4"/>
  <c r="L166" i="28"/>
  <c r="M26" i="24"/>
  <c r="L140" i="26"/>
  <c r="L131" i="30"/>
  <c r="L42" i="12"/>
  <c r="N31" i="25"/>
  <c r="O39" i="15"/>
  <c r="O112" i="21"/>
  <c r="K181" i="10"/>
  <c r="M180"/>
  <c r="O38" i="21"/>
  <c r="L160" i="24"/>
  <c r="L95" i="23"/>
  <c r="O146" i="26"/>
  <c r="L116" i="4"/>
  <c r="M87"/>
  <c r="N102" i="2"/>
  <c r="L154" i="4"/>
  <c r="M37" i="28"/>
  <c r="M127" i="20"/>
  <c r="M119"/>
  <c r="K114" i="10"/>
  <c r="L36" i="2"/>
  <c r="N21" i="25"/>
  <c r="L60" i="24"/>
  <c r="L155" i="1"/>
  <c r="N152" i="9"/>
  <c r="N61" i="26"/>
  <c r="K23"/>
  <c r="K113" i="1"/>
  <c r="K122" i="29"/>
  <c r="K78" i="18"/>
  <c r="M88" i="4"/>
  <c r="O49" i="18"/>
  <c r="O152" i="26"/>
  <c r="N14" i="15"/>
  <c r="N163" i="4"/>
  <c r="M180" i="20"/>
  <c r="M56"/>
  <c r="N53" i="23"/>
  <c r="L26" i="26"/>
  <c r="K51" i="25"/>
  <c r="M82" i="24"/>
  <c r="O152" i="22"/>
  <c r="M98" i="11"/>
  <c r="N109" i="20"/>
  <c r="O89" i="28"/>
  <c r="N185" i="12"/>
  <c r="L11"/>
  <c r="L154" i="24"/>
  <c r="L61"/>
  <c r="M149" i="21"/>
  <c r="L63" i="2"/>
  <c r="M9" i="24"/>
  <c r="O80" i="5"/>
  <c r="L29" i="28"/>
  <c r="O150" i="29"/>
  <c r="M19" i="18"/>
  <c r="N130" i="19"/>
  <c r="K9" i="24"/>
  <c r="K112" i="17"/>
  <c r="N15" i="18"/>
  <c r="K162" i="3"/>
  <c r="L120" i="2"/>
  <c r="O64" i="4"/>
  <c r="N93" i="26"/>
  <c r="L173" i="4"/>
  <c r="O127" i="10"/>
  <c r="L65" i="4"/>
  <c r="M181" i="20"/>
  <c r="L3" i="24"/>
  <c r="L173" i="20"/>
  <c r="O167" i="24"/>
  <c r="K119" i="10"/>
  <c r="K154" i="26"/>
  <c r="L115" i="24"/>
  <c r="M73" i="19"/>
  <c r="M76" i="28"/>
  <c r="N149" i="4"/>
  <c r="K25" i="28"/>
  <c r="K96"/>
  <c r="N118" i="19"/>
  <c r="L34" i="2"/>
  <c r="N142" i="26"/>
  <c r="L182" i="33"/>
  <c r="M29" i="30"/>
  <c r="O128" i="4"/>
  <c r="L182" i="29"/>
  <c r="O10" i="21"/>
  <c r="M84" i="4"/>
  <c r="M133" i="2"/>
  <c r="K134" i="19"/>
  <c r="L181" i="20"/>
  <c r="N4" i="5"/>
  <c r="M30" i="2"/>
  <c r="N15" i="24"/>
  <c r="L9" i="18"/>
  <c r="N92" i="26"/>
  <c r="L167" i="1"/>
  <c r="M80" i="28"/>
  <c r="M91" i="25"/>
  <c r="K162" i="29"/>
  <c r="O69" i="18"/>
  <c r="L67" i="4"/>
  <c r="K45" i="15"/>
  <c r="L170" i="33"/>
  <c r="N96"/>
  <c r="N120" i="9"/>
  <c r="M36" i="28"/>
  <c r="O184" i="2"/>
  <c r="K92" i="25"/>
  <c r="N133" i="4"/>
  <c r="K50" i="20"/>
  <c r="K118" i="4"/>
  <c r="K18" i="12"/>
  <c r="O149" i="29"/>
  <c r="L52" i="33"/>
  <c r="O42" i="21"/>
  <c r="O82" i="15"/>
  <c r="O119" i="29"/>
  <c r="N9" i="12"/>
  <c r="K167" i="2"/>
  <c r="L116"/>
  <c r="M177" i="21"/>
  <c r="K53" i="27"/>
  <c r="O25" i="29"/>
  <c r="K112" i="24"/>
  <c r="L39" i="1"/>
  <c r="K149" i="12"/>
  <c r="M119" i="29"/>
  <c r="N102" i="28"/>
  <c r="L177" i="3"/>
  <c r="K168" i="32"/>
  <c r="O151" i="20"/>
  <c r="M169" i="24"/>
  <c r="K99" i="2"/>
  <c r="L24" i="17"/>
  <c r="K143" i="27"/>
  <c r="K81" i="3"/>
  <c r="N59" i="29"/>
  <c r="M91" i="15"/>
  <c r="M61" i="12"/>
  <c r="M151" i="26"/>
  <c r="L120" i="29"/>
  <c r="N3" i="31"/>
  <c r="L131" i="5"/>
  <c r="M74" i="29"/>
  <c r="N16" i="6"/>
  <c r="O80" i="12"/>
  <c r="N158" i="29"/>
  <c r="M66" i="1"/>
  <c r="L38" i="17"/>
  <c r="O45" i="15"/>
  <c r="N96" i="5"/>
  <c r="M171" i="33"/>
  <c r="L165" i="6"/>
  <c r="O110" i="16"/>
  <c r="K184" i="2"/>
  <c r="M185" i="15"/>
  <c r="M80" i="6"/>
  <c r="O95" i="17"/>
  <c r="O184" i="9"/>
  <c r="O166" i="11"/>
  <c r="O114" i="12"/>
  <c r="K154" i="18"/>
  <c r="M3" i="4"/>
  <c r="K107" i="28"/>
  <c r="M93" i="22"/>
  <c r="O180" i="1"/>
  <c r="N96" i="17"/>
  <c r="L28" i="33"/>
  <c r="M153" i="26"/>
  <c r="M146" i="27"/>
  <c r="N21"/>
  <c r="O65" i="10"/>
  <c r="L155" i="25"/>
  <c r="N86" i="27"/>
  <c r="K69" i="20"/>
  <c r="K71" i="26"/>
  <c r="O53" i="21"/>
  <c r="L73" i="11"/>
  <c r="O120" i="3"/>
  <c r="K60" i="12"/>
  <c r="L11" i="4"/>
  <c r="N143" i="5"/>
  <c r="M135" i="30"/>
  <c r="M91" i="4"/>
  <c r="K100" i="28"/>
  <c r="O155" i="16"/>
  <c r="K71" i="31"/>
  <c r="N86" i="1"/>
  <c r="M180" i="17"/>
  <c r="M157" i="26"/>
  <c r="N117" i="11"/>
  <c r="K122" i="1"/>
  <c r="K152" i="24"/>
  <c r="O86" i="1"/>
  <c r="O163" i="25"/>
  <c r="L33" i="5"/>
  <c r="O29" i="20"/>
  <c r="O95" i="18"/>
  <c r="M151" i="6"/>
  <c r="N177" i="22"/>
  <c r="O152" i="29"/>
  <c r="N135" i="28"/>
  <c r="M52" i="26"/>
  <c r="K173" i="31"/>
  <c r="M122" i="2"/>
  <c r="O99" i="20"/>
  <c r="N30" i="27"/>
  <c r="N128" i="19"/>
  <c r="M43" i="28"/>
  <c r="N57" i="11"/>
  <c r="O9" i="4"/>
  <c r="K181" i="17"/>
  <c r="L40" i="18"/>
  <c r="O81" i="6"/>
  <c r="L16" i="23"/>
  <c r="M40" i="10"/>
  <c r="O176" i="28"/>
  <c r="L107" i="16"/>
  <c r="M179" i="33"/>
  <c r="N180"/>
  <c r="M66" i="6"/>
  <c r="M127" i="22"/>
  <c r="K132" i="9"/>
  <c r="M160" i="11"/>
  <c r="L64" i="1"/>
  <c r="M61" i="27"/>
  <c r="K133" i="23"/>
  <c r="O18" i="32"/>
  <c r="K36" i="22"/>
  <c r="O99" i="28"/>
  <c r="L168" i="15"/>
  <c r="L109" i="32"/>
  <c r="O134" i="25"/>
  <c r="M139" i="2"/>
  <c r="K87" i="28"/>
  <c r="L3" i="29"/>
  <c r="M146" i="24"/>
  <c r="N173" i="12"/>
  <c r="K106" i="6"/>
  <c r="K63" i="17"/>
  <c r="M146" i="10"/>
  <c r="M25" i="26"/>
  <c r="M182" i="11"/>
  <c r="N44" i="18"/>
  <c r="K128" i="31"/>
  <c r="N137" i="17"/>
  <c r="N79" i="21"/>
  <c r="L129" i="24"/>
  <c r="O112" i="28"/>
  <c r="K100" i="12"/>
  <c r="L154" i="33"/>
  <c r="K160" i="5"/>
  <c r="L34" i="18"/>
  <c r="L19" i="6"/>
  <c r="K128" i="17"/>
  <c r="K16" i="24"/>
  <c r="K165" i="16"/>
  <c r="K73" i="30"/>
  <c r="O118" i="6"/>
  <c r="O73" i="9"/>
  <c r="L16" i="26"/>
  <c r="K16" i="33"/>
  <c r="L29" i="20"/>
  <c r="L125"/>
  <c r="L21" i="5"/>
  <c r="K5" i="17"/>
  <c r="O123" i="21"/>
  <c r="O57" i="16"/>
  <c r="K121" i="1"/>
  <c r="N114" i="12"/>
  <c r="L20" i="17"/>
  <c r="M10" i="27"/>
  <c r="O173" i="4"/>
  <c r="L172" i="17"/>
  <c r="K33" i="22"/>
  <c r="M167" i="11"/>
  <c r="K85" i="20"/>
  <c r="N159" i="22"/>
  <c r="O18" i="33"/>
  <c r="O149" i="16"/>
  <c r="N77" i="32"/>
  <c r="K39" i="20"/>
  <c r="K163" i="18"/>
  <c r="K181" i="3"/>
  <c r="M75" i="6"/>
  <c r="L20" i="25"/>
  <c r="L36" i="19"/>
  <c r="L47" i="1"/>
  <c r="O91" i="9"/>
  <c r="M150" i="16"/>
  <c r="K69" i="18"/>
  <c r="L69" i="27"/>
  <c r="K116" i="18"/>
  <c r="O26" i="28"/>
  <c r="L96" i="25"/>
  <c r="O140" i="4"/>
  <c r="N10" i="31"/>
  <c r="K184" i="21"/>
  <c r="M59" i="16"/>
  <c r="M57" i="4"/>
  <c r="L58" i="20"/>
  <c r="K170" i="26"/>
  <c r="N28" i="24"/>
  <c r="O153" i="25"/>
  <c r="O170" i="23"/>
  <c r="N57" i="3"/>
  <c r="M162" i="24"/>
  <c r="M120" i="30"/>
  <c r="L31" i="26"/>
  <c r="M136" i="22"/>
  <c r="M79" i="12"/>
  <c r="N161" i="19"/>
  <c r="L39" i="21"/>
  <c r="L79" i="20"/>
  <c r="O97" i="21"/>
  <c r="M24" i="2"/>
  <c r="M142" i="29"/>
  <c r="L76" i="27"/>
  <c r="M185" i="20"/>
  <c r="M163" i="12"/>
  <c r="K71" i="18"/>
  <c r="K136" i="15"/>
  <c r="O19" i="26"/>
  <c r="K134" i="18"/>
  <c r="M4" i="4"/>
  <c r="N185" i="27"/>
  <c r="L57" i="18"/>
  <c r="N182" i="21"/>
  <c r="N51"/>
  <c r="M26" i="33"/>
  <c r="N77" i="24"/>
  <c r="M101" i="26"/>
  <c r="M153" i="20"/>
  <c r="M111" i="2"/>
  <c r="K43" i="25"/>
  <c r="O177" i="3"/>
  <c r="O8" i="30"/>
  <c r="M95" i="25"/>
  <c r="L152" i="26"/>
  <c r="K99" i="4"/>
  <c r="O30" i="5"/>
  <c r="N129" i="18"/>
  <c r="M178" i="4"/>
  <c r="K163" i="24"/>
  <c r="M65" i="18"/>
  <c r="K18" i="20"/>
  <c r="O99" i="30"/>
  <c r="O115" i="17"/>
  <c r="L114" i="4"/>
  <c r="L109" i="20"/>
  <c r="N165" i="17"/>
  <c r="M87" i="2"/>
  <c r="K143" i="11"/>
  <c r="M132" i="24"/>
  <c r="K34" i="4"/>
  <c r="K91" i="23"/>
  <c r="L84" i="2"/>
  <c r="N185" i="29"/>
  <c r="N9" i="28"/>
  <c r="N10" i="12"/>
  <c r="L137" i="1"/>
  <c r="L176" i="26"/>
  <c r="M114" i="18"/>
  <c r="K170" i="32"/>
  <c r="O112" i="4"/>
  <c r="M68" i="21"/>
  <c r="L95" i="26"/>
  <c r="M54" i="28"/>
  <c r="K53" i="12"/>
  <c r="M100" i="2"/>
  <c r="N122" i="29"/>
  <c r="N58" i="20"/>
  <c r="K31" i="33"/>
  <c r="O155" i="19"/>
  <c r="M127" i="10"/>
  <c r="M111" i="24"/>
  <c r="M36" i="25"/>
  <c r="K53" i="3"/>
  <c r="K54" i="15"/>
  <c r="N148"/>
  <c r="M149" i="31"/>
  <c r="K21" i="16"/>
  <c r="N42" i="26"/>
  <c r="M178" i="24"/>
  <c r="O88" i="29"/>
  <c r="N153" i="28"/>
  <c r="K8" i="1"/>
  <c r="O128" i="33"/>
  <c r="L5" i="12"/>
  <c r="L142" i="26"/>
  <c r="L14" i="24"/>
  <c r="N4" i="25"/>
  <c r="L47" i="9"/>
  <c r="O89" i="12"/>
  <c r="N159" i="21"/>
  <c r="O97" i="11"/>
  <c r="K185" i="2"/>
  <c r="L152" i="33"/>
  <c r="L170" i="30"/>
  <c r="M85" i="1"/>
  <c r="L82" i="32"/>
  <c r="L182" i="26"/>
  <c r="N136" i="4"/>
  <c r="N23" i="21"/>
  <c r="K10" i="24"/>
  <c r="K155" i="18"/>
  <c r="M165" i="28"/>
  <c r="L110" i="29"/>
  <c r="O50" i="12"/>
  <c r="L65" i="16"/>
  <c r="M166" i="2"/>
  <c r="L185" i="21"/>
  <c r="N21" i="5"/>
  <c r="N171" i="28"/>
  <c r="M69" i="3"/>
  <c r="M148" i="2"/>
  <c r="O157" i="32"/>
  <c r="N81" i="28"/>
  <c r="L154" i="12"/>
  <c r="L157"/>
  <c r="L151" i="6"/>
  <c r="K182" i="28"/>
  <c r="M20" i="12"/>
  <c r="M49" i="2"/>
  <c r="M5" i="17"/>
  <c r="O163" i="18"/>
  <c r="L150" i="12"/>
  <c r="O66" i="20"/>
  <c r="M127" i="25"/>
  <c r="K161" i="16"/>
  <c r="K132" i="12"/>
  <c r="K61"/>
  <c r="N108" i="21"/>
  <c r="L151" i="32"/>
  <c r="N148" i="2"/>
  <c r="N87" i="15"/>
  <c r="K89" i="20"/>
  <c r="L159" i="21"/>
  <c r="N34" i="24"/>
  <c r="L101" i="25"/>
  <c r="M82" i="33"/>
  <c r="M79" i="25"/>
  <c r="K78" i="28"/>
  <c r="M113" i="29"/>
  <c r="K8" i="24"/>
  <c r="K10" i="4"/>
  <c r="N30" i="33"/>
  <c r="M85" i="11"/>
  <c r="N135" i="24"/>
  <c r="N82" i="26"/>
  <c r="K54" i="12"/>
  <c r="O109" i="33"/>
  <c r="M91" i="17"/>
  <c r="K43" i="4"/>
  <c r="N49" i="20"/>
  <c r="K54" i="29"/>
  <c r="K84" i="4"/>
  <c r="K106" i="12"/>
  <c r="O77" i="24"/>
  <c r="L58" i="12"/>
  <c r="N15"/>
  <c r="K149" i="2"/>
  <c r="N4"/>
  <c r="L158" i="12"/>
  <c r="L119" i="30"/>
  <c r="L134" i="28"/>
  <c r="K19" i="29"/>
  <c r="M141" i="12"/>
  <c r="L96" i="2"/>
  <c r="K85" i="21"/>
  <c r="K96" i="24"/>
  <c r="K91"/>
  <c r="N129" i="12"/>
  <c r="M119" i="21"/>
  <c r="M60" i="2"/>
  <c r="N10" i="26"/>
  <c r="M96" i="3"/>
  <c r="L146" i="21"/>
  <c r="L115" i="6"/>
  <c r="O169" i="12"/>
  <c r="K16" i="28"/>
  <c r="M178" i="25"/>
  <c r="M157" i="3"/>
  <c r="M151" i="12"/>
  <c r="O6" i="28"/>
  <c r="O122" i="26"/>
  <c r="M23" i="1"/>
  <c r="O144" i="22"/>
  <c r="L24" i="12"/>
  <c r="O16" i="31"/>
  <c r="O74" i="32"/>
  <c r="K84" i="28"/>
  <c r="K116" i="26"/>
  <c r="M167" i="10"/>
  <c r="N87" i="2"/>
  <c r="L88" i="26"/>
  <c r="M170" i="27"/>
  <c r="O95" i="25"/>
  <c r="K23" i="21"/>
  <c r="O84" i="18"/>
  <c r="O81" i="28"/>
  <c r="L184" i="12"/>
  <c r="L152" i="2"/>
  <c r="L131"/>
  <c r="M184" i="12"/>
  <c r="L173" i="28"/>
  <c r="L14" i="10"/>
  <c r="O45" i="21"/>
  <c r="K153" i="1"/>
  <c r="M132" i="6"/>
  <c r="L80" i="11"/>
  <c r="L176" i="19"/>
  <c r="K15" i="6"/>
  <c r="M74" i="18"/>
  <c r="O82" i="26"/>
  <c r="M185"/>
  <c r="L137" i="20"/>
  <c r="M79" i="23"/>
  <c r="K29" i="28"/>
  <c r="M37" i="26"/>
  <c r="O95" i="6"/>
  <c r="O82" i="4"/>
  <c r="N93" i="24"/>
  <c r="L6" i="26"/>
  <c r="M122" i="16"/>
  <c r="L135" i="12"/>
  <c r="O25" i="17"/>
  <c r="N108" i="18"/>
  <c r="M78"/>
  <c r="L19" i="27"/>
  <c r="K73" i="2"/>
  <c r="O21" i="4"/>
  <c r="M81" i="5"/>
  <c r="M97" i="20"/>
  <c r="M127" i="24"/>
  <c r="K13" i="31"/>
  <c r="K33" i="18"/>
  <c r="M180" i="31"/>
  <c r="N36" i="2"/>
  <c r="M33" i="21"/>
  <c r="L85" i="33"/>
  <c r="N15" i="20"/>
  <c r="M28" i="2"/>
  <c r="K183" i="25"/>
  <c r="K13" i="28"/>
  <c r="O65" i="26"/>
  <c r="O161" i="30"/>
  <c r="L135" i="2"/>
  <c r="O24" i="27"/>
  <c r="M25" i="18"/>
  <c r="N181" i="2"/>
  <c r="L15" i="20"/>
  <c r="O85" i="17"/>
  <c r="M86" i="24"/>
  <c r="O19" i="18"/>
  <c r="N145" i="2"/>
  <c r="L97" i="6"/>
  <c r="L144" i="29"/>
  <c r="N107" i="3"/>
  <c r="K150" i="24"/>
  <c r="O37" i="25"/>
  <c r="N53" i="33"/>
  <c r="K28" i="21"/>
  <c r="L143" i="32"/>
  <c r="N63" i="33"/>
  <c r="N98" i="26"/>
  <c r="K59"/>
  <c r="M6" i="21"/>
  <c r="K87" i="33"/>
  <c r="M158" i="12"/>
  <c r="N73" i="4"/>
  <c r="K162" i="24"/>
  <c r="O130" i="27"/>
  <c r="M13"/>
  <c r="N181" i="15"/>
  <c r="K23" i="20"/>
  <c r="K184" i="27"/>
  <c r="N152" i="26"/>
  <c r="L65" i="20"/>
  <c r="N95" i="19"/>
  <c r="M125" i="20"/>
  <c r="K42" i="33"/>
  <c r="N140" i="6"/>
  <c r="L26" i="33"/>
  <c r="O26" i="23"/>
  <c r="M177" i="11"/>
  <c r="O43" i="29"/>
  <c r="N9" i="21"/>
  <c r="O38" i="28"/>
  <c r="K136" i="25"/>
  <c r="M92"/>
  <c r="M121" i="33"/>
  <c r="O152" i="2"/>
  <c r="K77" i="26"/>
  <c r="N37" i="23"/>
  <c r="K47" i="16"/>
  <c r="K74"/>
  <c r="N8" i="18"/>
  <c r="L28" i="12"/>
  <c r="O54" i="21"/>
  <c r="N125" i="26"/>
  <c r="L148"/>
  <c r="N95" i="27"/>
  <c r="N184" i="31"/>
  <c r="L54" i="4"/>
  <c r="O155" i="26"/>
  <c r="N110" i="28"/>
  <c r="O31" i="9"/>
  <c r="M128" i="1"/>
  <c r="M44" i="26"/>
  <c r="N134" i="22"/>
  <c r="O113" i="25"/>
  <c r="L140" i="20"/>
  <c r="M37" i="19"/>
  <c r="K182" i="15"/>
  <c r="K116" i="6"/>
  <c r="O44" i="12"/>
  <c r="O119" i="1"/>
  <c r="O148" i="25"/>
  <c r="N11" i="24"/>
  <c r="O97" i="5"/>
  <c r="M52" i="25"/>
  <c r="K182" i="3"/>
  <c r="O112" i="31"/>
  <c r="N181" i="18"/>
  <c r="N61" i="30"/>
  <c r="K171" i="16"/>
  <c r="L127" i="30"/>
  <c r="L126" i="6"/>
  <c r="O129" i="19"/>
  <c r="K86" i="21"/>
  <c r="M140" i="3"/>
  <c r="L15" i="2"/>
  <c r="L71" i="21"/>
  <c r="K42" i="32"/>
  <c r="L16" i="11"/>
  <c r="L113" i="16"/>
  <c r="K97" i="26"/>
  <c r="O125"/>
  <c r="K153" i="27"/>
  <c r="K167" i="15"/>
  <c r="O69" i="12"/>
  <c r="O36" i="9"/>
  <c r="M88" i="21"/>
  <c r="O122" i="12"/>
  <c r="M152" i="17"/>
  <c r="N65" i="18"/>
  <c r="N95"/>
  <c r="N69" i="19"/>
  <c r="K165" i="24"/>
  <c r="K98" i="26"/>
  <c r="O37" i="12"/>
  <c r="N18" i="21"/>
  <c r="N42" i="25"/>
  <c r="N99" i="4"/>
  <c r="N114" i="32"/>
  <c r="M20" i="19"/>
  <c r="O172" i="26"/>
  <c r="L155" i="4"/>
  <c r="K139" i="9"/>
  <c r="L122" i="5"/>
  <c r="M101" i="2"/>
  <c r="L108" i="26"/>
  <c r="N25" i="16"/>
  <c r="N14" i="26"/>
  <c r="K24" i="28"/>
  <c r="M143" i="25"/>
  <c r="O140" i="30"/>
  <c r="L44" i="19"/>
  <c r="N125" i="17"/>
  <c r="N137" i="22"/>
  <c r="N67" i="19"/>
  <c r="L67" i="28"/>
  <c r="N75" i="30"/>
  <c r="O24" i="32"/>
  <c r="O142" i="28"/>
  <c r="K126" i="10"/>
  <c r="L75" i="15"/>
  <c r="K14" i="12"/>
  <c r="M87" i="5"/>
  <c r="L85" i="18"/>
  <c r="N63" i="23"/>
  <c r="N126" i="5"/>
  <c r="N57" i="31"/>
  <c r="L121" i="10"/>
  <c r="L148" i="23"/>
  <c r="N158" i="32"/>
  <c r="M86" i="3"/>
  <c r="M181" i="27"/>
  <c r="K168" i="10"/>
  <c r="O123" i="11"/>
  <c r="M121" i="22"/>
  <c r="L176" i="11"/>
  <c r="K100" i="25"/>
  <c r="K120" i="12"/>
  <c r="K15" i="21"/>
  <c r="O19" i="9"/>
  <c r="K127" i="24"/>
  <c r="N10" i="4"/>
  <c r="L168" i="33"/>
  <c r="O45" i="10"/>
  <c r="L91" i="2"/>
  <c r="L64" i="24"/>
  <c r="K18" i="15"/>
  <c r="N127" i="33"/>
  <c r="K131" i="26"/>
  <c r="K155" i="31"/>
  <c r="L98" i="19"/>
  <c r="L128" i="33"/>
  <c r="N66" i="12"/>
  <c r="K160" i="27"/>
  <c r="K106" i="18"/>
  <c r="N101" i="10"/>
  <c r="K81" i="11"/>
  <c r="K111" i="21"/>
  <c r="K16" i="12"/>
  <c r="K36" i="20"/>
  <c r="K64" i="32"/>
  <c r="N165" i="29"/>
  <c r="L159" i="20"/>
  <c r="O150" i="28"/>
  <c r="M176" i="30"/>
  <c r="K135" i="29"/>
  <c r="N140" i="5"/>
  <c r="O54" i="9"/>
  <c r="N122" i="18"/>
  <c r="N174" i="16"/>
  <c r="O161" i="15"/>
  <c r="N15" i="19"/>
  <c r="K132" i="30"/>
  <c r="M6" i="3"/>
  <c r="K100" i="19"/>
  <c r="N38" i="10"/>
  <c r="L149" i="31"/>
  <c r="M86" i="5"/>
  <c r="O151" i="16"/>
  <c r="K151" i="17"/>
  <c r="K146" i="11"/>
  <c r="L88" i="25"/>
  <c r="L26" i="31"/>
  <c r="M136" i="2"/>
  <c r="N72" i="12"/>
  <c r="O94" i="24"/>
  <c r="L75" i="27"/>
  <c r="O26" i="21"/>
  <c r="N166" i="26"/>
  <c r="L67" i="22"/>
  <c r="K19" i="12"/>
  <c r="K149" i="21"/>
  <c r="K136" i="12"/>
  <c r="N172" i="4"/>
  <c r="L71" i="24"/>
  <c r="K143" i="28"/>
  <c r="K176" i="9"/>
  <c r="M153" i="12"/>
  <c r="O174" i="21"/>
  <c r="K113" i="12"/>
  <c r="N58" i="28"/>
  <c r="O57" i="26"/>
  <c r="L179" i="15"/>
  <c r="M82" i="9"/>
  <c r="L56" i="29"/>
  <c r="O159" i="11"/>
  <c r="K106" i="30"/>
  <c r="K82" i="3"/>
  <c r="M144" i="10"/>
  <c r="O116" i="2"/>
  <c r="N25" i="9"/>
  <c r="M77" i="12"/>
  <c r="K91" i="25"/>
  <c r="K34" i="19"/>
  <c r="M162" i="22"/>
  <c r="N80" i="25"/>
  <c r="N185" i="20"/>
  <c r="O119" i="33"/>
  <c r="O61" i="20"/>
  <c r="L9"/>
  <c r="L172" i="1"/>
  <c r="L75" i="21"/>
  <c r="N40" i="20"/>
  <c r="M8" i="6"/>
  <c r="K78" i="1"/>
  <c r="M146" i="26"/>
  <c r="N166" i="4"/>
  <c r="O169" i="33"/>
  <c r="K46" i="21"/>
  <c r="K18" i="29"/>
  <c r="L137" i="24"/>
  <c r="O99" i="4"/>
  <c r="M43" i="27"/>
  <c r="N94" i="28"/>
  <c r="M50" i="33"/>
  <c r="O101" i="5"/>
  <c r="L101" i="1"/>
  <c r="M132" i="12"/>
  <c r="K114" i="21"/>
  <c r="N25" i="20"/>
  <c r="M136" i="3"/>
  <c r="N72"/>
  <c r="M8" i="1"/>
  <c r="M113" i="25"/>
  <c r="M67" i="12"/>
  <c r="L8" i="6"/>
  <c r="O28" i="16"/>
  <c r="L107" i="33"/>
  <c r="L169" i="31"/>
  <c r="L159" i="29"/>
  <c r="O121" i="2"/>
  <c r="L148" i="30"/>
  <c r="O150" i="26"/>
  <c r="L153" i="6"/>
  <c r="O63" i="21"/>
  <c r="L166" i="15"/>
  <c r="M60" i="11"/>
  <c r="K132" i="10"/>
  <c r="L56" i="21"/>
  <c r="N84" i="4"/>
  <c r="M123" i="15"/>
  <c r="M112" i="4"/>
  <c r="M134" i="6"/>
  <c r="N97" i="21"/>
  <c r="M125" i="15"/>
  <c r="M10" i="17"/>
  <c r="N92" i="20"/>
  <c r="M5" i="28"/>
  <c r="O34"/>
  <c r="O172" i="4"/>
  <c r="K77" i="23"/>
  <c r="K3" i="18"/>
  <c r="L161" i="29"/>
  <c r="O172" i="20"/>
  <c r="O91" i="19"/>
  <c r="N21" i="12"/>
  <c r="O73" i="15"/>
  <c r="O30" i="18"/>
  <c r="N155" i="11"/>
  <c r="L115" i="4"/>
  <c r="L64" i="2"/>
  <c r="K10" i="18"/>
  <c r="M37" i="20"/>
  <c r="L149" i="33"/>
  <c r="N152" i="17"/>
  <c r="O127" i="6"/>
  <c r="O31" i="30"/>
  <c r="M114" i="33"/>
  <c r="N182" i="2"/>
  <c r="L98" i="25"/>
  <c r="L46" i="1"/>
  <c r="O23" i="18"/>
  <c r="O18" i="29"/>
  <c r="O73" i="11"/>
  <c r="K65" i="16"/>
  <c r="M97" i="26"/>
  <c r="L98" i="12"/>
  <c r="K3" i="4"/>
  <c r="K125" i="25"/>
  <c r="M64" i="18"/>
  <c r="O34" i="25"/>
  <c r="M66" i="16"/>
  <c r="N15" i="21"/>
  <c r="O93" i="10"/>
  <c r="N180" i="2"/>
  <c r="O166" i="4"/>
  <c r="M120" i="2"/>
  <c r="K169"/>
  <c r="M23" i="26"/>
  <c r="O115" i="22"/>
  <c r="K145" i="2"/>
  <c r="N157" i="4"/>
  <c r="L146" i="29"/>
  <c r="M145" i="28"/>
  <c r="M148" i="24"/>
  <c r="K68" i="11"/>
  <c r="O167" i="1"/>
  <c r="K157" i="29"/>
  <c r="K19" i="26"/>
  <c r="O108" i="4"/>
  <c r="M143" i="31"/>
  <c r="N52" i="10"/>
  <c r="L42" i="24"/>
  <c r="N75" i="4"/>
  <c r="L18" i="26"/>
  <c r="O57" i="29"/>
  <c r="O167" i="9"/>
  <c r="L154" i="28"/>
  <c r="M106" i="21"/>
  <c r="M23" i="4"/>
  <c r="M10" i="11"/>
  <c r="O18" i="26"/>
  <c r="L183" i="33"/>
  <c r="N125" i="29"/>
  <c r="M152" i="15"/>
  <c r="N143" i="24"/>
  <c r="L122" i="21"/>
  <c r="M85" i="2"/>
  <c r="L171" i="21"/>
  <c r="O81" i="20"/>
  <c r="M61" i="18"/>
  <c r="L166" i="24"/>
  <c r="O86" i="12"/>
  <c r="N120" i="10"/>
  <c r="N57" i="20"/>
  <c r="L88" i="4"/>
  <c r="M146" i="11"/>
  <c r="M133" i="10"/>
  <c r="O9" i="33"/>
  <c r="M172" i="9"/>
  <c r="N96" i="24"/>
  <c r="L119" i="2"/>
  <c r="N109" i="3"/>
  <c r="M184" i="28"/>
  <c r="O150" i="31"/>
  <c r="M20" i="2"/>
  <c r="O177" i="27"/>
  <c r="L46" i="4"/>
  <c r="N119" i="28"/>
  <c r="M19" i="19"/>
  <c r="M183" i="31"/>
  <c r="L94" i="4"/>
  <c r="L51" i="12"/>
  <c r="N162" i="11"/>
  <c r="L47" i="28"/>
  <c r="O60" i="27"/>
  <c r="O16" i="21"/>
  <c r="M72"/>
  <c r="N36" i="3"/>
  <c r="O149" i="19"/>
  <c r="L152" i="16"/>
  <c r="N112" i="2"/>
  <c r="O28" i="18"/>
  <c r="L99" i="4"/>
  <c r="L31" i="2"/>
  <c r="N119" i="25"/>
  <c r="L101" i="28"/>
  <c r="N108" i="4"/>
  <c r="N84" i="33"/>
  <c r="M163" i="16"/>
  <c r="K69" i="24"/>
  <c r="N86" i="12"/>
  <c r="O74" i="25"/>
  <c r="M57" i="12"/>
  <c r="N72" i="1"/>
  <c r="N161" i="21"/>
  <c r="L35" i="31"/>
  <c r="M21" i="21"/>
  <c r="N6" i="20"/>
  <c r="L81" i="25"/>
  <c r="O49" i="4"/>
  <c r="O137" i="20"/>
  <c r="K169" i="31"/>
  <c r="M152" i="28"/>
  <c r="L44" i="9"/>
  <c r="O99" i="16"/>
  <c r="K71" i="33"/>
  <c r="O177" i="11"/>
  <c r="N159" i="29"/>
  <c r="M30" i="26"/>
  <c r="O19" i="4"/>
  <c r="L96"/>
  <c r="L40" i="29"/>
  <c r="N4" i="18"/>
  <c r="L20" i="26"/>
  <c r="K21" i="21"/>
  <c r="N123"/>
  <c r="L132" i="18"/>
  <c r="N106" i="33"/>
  <c r="N176" i="24"/>
  <c r="K142" i="21"/>
  <c r="N148" i="11"/>
  <c r="K148" i="21"/>
  <c r="O67" i="2"/>
  <c r="N134" i="26"/>
  <c r="N46" i="21"/>
  <c r="O152" i="12"/>
  <c r="K182" i="21"/>
  <c r="L160" i="4"/>
  <c r="M93" i="26"/>
  <c r="K81" i="18"/>
  <c r="L40" i="21"/>
  <c r="O111" i="18"/>
  <c r="O82" i="12"/>
  <c r="L92" i="18"/>
  <c r="N96" i="11"/>
  <c r="K93" i="12"/>
  <c r="N84" i="15"/>
  <c r="N176" i="21"/>
  <c r="N54"/>
  <c r="O38" i="26"/>
  <c r="O8" i="12"/>
  <c r="K143" i="29"/>
  <c r="M174"/>
  <c r="M106" i="18"/>
  <c r="K26" i="29"/>
  <c r="L136" i="28"/>
  <c r="N157" i="29"/>
  <c r="O36" i="24"/>
  <c r="M18" i="16"/>
  <c r="M3" i="17"/>
  <c r="K63" i="24"/>
  <c r="M49" i="11"/>
  <c r="L63" i="26"/>
  <c r="O162" i="20"/>
  <c r="K157" i="19"/>
  <c r="N40" i="24"/>
  <c r="M107" i="2"/>
  <c r="L148" i="28"/>
  <c r="L16" i="20"/>
  <c r="N169" i="24"/>
  <c r="M99" i="27"/>
  <c r="M86" i="4"/>
  <c r="O171" i="25"/>
  <c r="L113" i="28"/>
  <c r="O25" i="21"/>
  <c r="N60" i="24"/>
  <c r="M58" i="4"/>
  <c r="K122" i="26"/>
  <c r="M42"/>
  <c r="K134" i="24"/>
  <c r="O45" i="2"/>
  <c r="K65" i="18"/>
  <c r="L101" i="26"/>
  <c r="O21" i="12"/>
  <c r="N96" i="26"/>
  <c r="M92" i="2"/>
  <c r="L131" i="24"/>
  <c r="M56" i="21"/>
  <c r="O120" i="18"/>
  <c r="L68" i="32"/>
  <c r="M77" i="10"/>
  <c r="K65" i="9"/>
  <c r="O131" i="24"/>
  <c r="O130" i="12"/>
  <c r="N39" i="24"/>
  <c r="L141" i="20"/>
  <c r="M146" i="21"/>
  <c r="K150" i="30"/>
  <c r="L157" i="1"/>
  <c r="K102" i="22"/>
  <c r="O98" i="16"/>
  <c r="O100" i="2"/>
  <c r="O87" i="20"/>
  <c r="N157" i="25"/>
  <c r="L161" i="28"/>
  <c r="N157" i="18"/>
  <c r="O178" i="5"/>
  <c r="L143" i="4"/>
  <c r="O46" i="1"/>
  <c r="O28" i="6"/>
  <c r="K36" i="24"/>
  <c r="K159" i="33"/>
  <c r="O85" i="18"/>
  <c r="O14" i="12"/>
  <c r="O97" i="25"/>
  <c r="O14" i="10"/>
  <c r="K117" i="26"/>
  <c r="N136" i="5"/>
  <c r="L52" i="4"/>
  <c r="M131" i="26"/>
  <c r="K84" i="9"/>
  <c r="O129" i="10"/>
  <c r="N146" i="27"/>
  <c r="M142" i="6"/>
  <c r="M123" i="2"/>
  <c r="O49" i="9"/>
  <c r="N78" i="23"/>
  <c r="L65" i="9"/>
  <c r="N114" i="23"/>
  <c r="M93" i="4"/>
  <c r="O123" i="31"/>
  <c r="L182" i="5"/>
  <c r="L42" i="23"/>
  <c r="O145" i="21"/>
  <c r="O179" i="28"/>
  <c r="O139" i="18"/>
  <c r="M54" i="21"/>
  <c r="O127" i="28"/>
  <c r="O112" i="2"/>
  <c r="M118" i="4"/>
  <c r="O29" i="12"/>
  <c r="O34" i="33"/>
  <c r="M78" i="2"/>
  <c r="N108" i="29"/>
  <c r="M8" i="2"/>
  <c r="O3" i="17"/>
  <c r="L11" i="21"/>
  <c r="L182" i="15"/>
  <c r="L100" i="12"/>
  <c r="L45" i="11"/>
  <c r="M42" i="2"/>
  <c r="K171" i="24"/>
  <c r="L179" i="25"/>
  <c r="M38" i="12"/>
  <c r="L157" i="24"/>
  <c r="O178" i="2"/>
  <c r="M5" i="4"/>
  <c r="L100" i="21"/>
  <c r="M109" i="20"/>
  <c r="N169" i="18"/>
  <c r="M131"/>
  <c r="K85" i="17"/>
  <c r="M120" i="25"/>
  <c r="K130" i="2"/>
  <c r="L185" i="11"/>
  <c r="M110" i="9"/>
  <c r="K77" i="21"/>
  <c r="K37" i="31"/>
  <c r="O133" i="33"/>
  <c r="N30" i="21"/>
  <c r="K147" i="17"/>
  <c r="K97" i="2"/>
  <c r="N180" i="6"/>
  <c r="N185" i="26"/>
  <c r="N144" i="29"/>
  <c r="M153" i="24"/>
  <c r="K18" i="5"/>
  <c r="N33" i="2"/>
  <c r="K5" i="21"/>
  <c r="N77" i="4"/>
  <c r="O96" i="9"/>
  <c r="L33" i="18"/>
  <c r="L89" i="24"/>
  <c r="M28" i="10"/>
  <c r="M64" i="15"/>
  <c r="M162" i="29"/>
  <c r="L174" i="6"/>
  <c r="O82" i="2"/>
  <c r="N76" i="5"/>
  <c r="K51" i="31"/>
  <c r="K174" i="21"/>
  <c r="O87" i="3"/>
  <c r="O107" i="10"/>
  <c r="M36" i="4"/>
  <c r="K11" i="26"/>
  <c r="O93" i="2"/>
  <c r="N182" i="29"/>
  <c r="N61" i="21"/>
  <c r="L141" i="12"/>
  <c r="N88" i="31"/>
  <c r="L87" i="4"/>
  <c r="O93" i="17"/>
  <c r="K129" i="19"/>
  <c r="K129" i="28"/>
  <c r="K111" i="4"/>
  <c r="M121" i="5"/>
  <c r="N20" i="10"/>
  <c r="K78" i="15"/>
  <c r="M144" i="20"/>
  <c r="N128" i="28"/>
  <c r="M120" i="18"/>
  <c r="L115" i="2"/>
  <c r="M165" i="30"/>
  <c r="L126" i="32"/>
  <c r="L161" i="4"/>
  <c r="M107" i="23"/>
  <c r="L57" i="21"/>
  <c r="L178" i="19"/>
  <c r="L100" i="24"/>
  <c r="L108" i="18"/>
  <c r="L85" i="12"/>
  <c r="O132" i="11"/>
  <c r="O77" i="28"/>
  <c r="K139" i="20"/>
  <c r="K82" i="2"/>
  <c r="N116" i="20"/>
  <c r="O74" i="3"/>
  <c r="K30" i="4"/>
  <c r="M61" i="21"/>
  <c r="N163" i="6"/>
  <c r="O139" i="1"/>
  <c r="M26" i="21"/>
  <c r="M23" i="2"/>
  <c r="K123" i="24"/>
  <c r="O119"/>
  <c r="M146" i="4"/>
  <c r="N98" i="6"/>
  <c r="M180" i="25"/>
  <c r="N136" i="30"/>
  <c r="M74" i="20"/>
  <c r="N44" i="25"/>
  <c r="O51" i="4"/>
  <c r="K14" i="17"/>
  <c r="K64" i="19"/>
  <c r="M143" i="5"/>
  <c r="O142" i="25"/>
  <c r="K102"/>
  <c r="N78" i="32"/>
  <c r="O75" i="12"/>
  <c r="M128" i="15"/>
  <c r="O165" i="2"/>
  <c r="O57" i="20"/>
  <c r="L178" i="21"/>
  <c r="O45" i="5"/>
  <c r="L94" i="20"/>
  <c r="K169" i="17"/>
  <c r="M21" i="30"/>
  <c r="M174" i="12"/>
  <c r="O102" i="19"/>
  <c r="L28" i="25"/>
  <c r="L87" i="32"/>
  <c r="L180" i="33"/>
  <c r="O140" i="16"/>
  <c r="O102" i="10"/>
  <c r="N144"/>
  <c r="K119" i="1"/>
  <c r="N72" i="32"/>
  <c r="L174" i="5"/>
  <c r="L88" i="20"/>
  <c r="L113" i="29"/>
  <c r="O23" i="11"/>
  <c r="M24" i="28"/>
  <c r="K163" i="10"/>
  <c r="N119" i="11"/>
  <c r="K76" i="28"/>
  <c r="M147" i="6"/>
  <c r="K10" i="25"/>
  <c r="N125" i="30"/>
  <c r="N71" i="21"/>
  <c r="N179" i="32"/>
  <c r="K149" i="29"/>
  <c r="M176" i="32"/>
  <c r="M117" i="24"/>
  <c r="N154" i="2"/>
  <c r="N146" i="19"/>
  <c r="L59" i="11"/>
  <c r="K5" i="16"/>
  <c r="N21" i="2"/>
  <c r="L14" i="3"/>
  <c r="K121" i="2"/>
  <c r="N109" i="11"/>
  <c r="K24" i="4"/>
  <c r="L47" i="32"/>
  <c r="K113" i="4"/>
  <c r="M6" i="24"/>
  <c r="O135" i="28"/>
  <c r="O97" i="17"/>
  <c r="K155" i="32"/>
  <c r="N116" i="5"/>
  <c r="O147" i="16"/>
  <c r="M80" i="30"/>
  <c r="M112" i="19"/>
  <c r="O53" i="2"/>
  <c r="K66" i="12"/>
  <c r="L131" i="1"/>
  <c r="M86" i="10"/>
  <c r="O28" i="24"/>
  <c r="L35" i="10"/>
  <c r="M24" i="19"/>
  <c r="M133" i="6"/>
  <c r="M160" i="19"/>
  <c r="L79" i="17"/>
  <c r="N3" i="5"/>
  <c r="M75" i="30"/>
  <c r="K64" i="12"/>
  <c r="N60" i="33"/>
  <c r="O120" i="24"/>
  <c r="L89" i="21"/>
  <c r="O75" i="3"/>
  <c r="K88" i="33"/>
  <c r="L162" i="26"/>
  <c r="O93" i="28"/>
  <c r="M100" i="15"/>
  <c r="M4" i="2"/>
  <c r="N125" i="33"/>
  <c r="L176" i="20"/>
  <c r="L25"/>
  <c r="L147" i="10"/>
  <c r="O52" i="28"/>
  <c r="O157" i="33"/>
  <c r="O167" i="29"/>
  <c r="L167" i="31"/>
  <c r="K44" i="26"/>
  <c r="M174" i="2"/>
  <c r="K184" i="25"/>
  <c r="O86" i="24"/>
  <c r="L54" i="18"/>
  <c r="N33" i="22"/>
  <c r="K181" i="16"/>
  <c r="N174" i="3"/>
  <c r="O6" i="4"/>
  <c r="N97" i="6"/>
  <c r="O79" i="12"/>
  <c r="O136" i="20"/>
  <c r="N50" i="16"/>
  <c r="K5" i="19"/>
  <c r="O184" i="20"/>
  <c r="L178" i="12"/>
  <c r="K43" i="31"/>
  <c r="K18" i="6"/>
  <c r="L35" i="20"/>
  <c r="K128" i="6"/>
  <c r="L61" i="4"/>
  <c r="M77" i="32"/>
  <c r="N126" i="26"/>
  <c r="N177" i="1"/>
  <c r="K140" i="3"/>
  <c r="N146" i="24"/>
  <c r="O28" i="9"/>
  <c r="M99" i="28"/>
  <c r="O147" i="6"/>
  <c r="O91"/>
  <c r="N98" i="5"/>
  <c r="K88" i="6"/>
  <c r="L3" i="28"/>
  <c r="O45"/>
  <c r="K129" i="10"/>
  <c r="K77"/>
  <c r="M134" i="12"/>
  <c r="K172" i="25"/>
  <c r="L143" i="31"/>
  <c r="N108" i="17"/>
  <c r="O166" i="21"/>
  <c r="N155" i="9"/>
  <c r="L167" i="4"/>
  <c r="M84" i="18"/>
  <c r="M80" i="25"/>
  <c r="O73" i="4"/>
  <c r="L57" i="26"/>
  <c r="L69" i="15"/>
  <c r="O77" i="2"/>
  <c r="N114" i="16"/>
  <c r="N18" i="17"/>
  <c r="L85" i="1"/>
  <c r="L150" i="29"/>
  <c r="N51" i="1"/>
  <c r="K136" i="2"/>
  <c r="N161" i="16"/>
  <c r="K126" i="28"/>
  <c r="O165" i="4"/>
  <c r="M39" i="12"/>
  <c r="L50"/>
  <c r="M157" i="18"/>
  <c r="M24"/>
  <c r="N45" i="24"/>
  <c r="M72" i="9"/>
  <c r="N77" i="26"/>
  <c r="K95" i="28"/>
  <c r="M74" i="21"/>
  <c r="L19" i="29"/>
  <c r="O77" i="20"/>
  <c r="M145" i="33"/>
  <c r="M36" i="20"/>
  <c r="L129" i="33"/>
  <c r="K44" i="24"/>
  <c r="O123" i="10"/>
  <c r="N157" i="21"/>
  <c r="N133" i="33"/>
  <c r="O107" i="29"/>
  <c r="O31" i="25"/>
  <c r="K71" i="12"/>
  <c r="K177" i="30"/>
  <c r="N132" i="18"/>
  <c r="M51" i="12"/>
  <c r="O98" i="19"/>
  <c r="L61" i="21"/>
  <c r="L118" i="4"/>
  <c r="O77" i="27"/>
  <c r="L40"/>
  <c r="N141" i="2"/>
  <c r="O38" i="12"/>
  <c r="O98" i="31"/>
  <c r="O142" i="29"/>
  <c r="L167" i="9"/>
  <c r="M143" i="17"/>
  <c r="O24" i="31"/>
  <c r="K160" i="18"/>
  <c r="M167" i="26"/>
  <c r="M180" i="32"/>
  <c r="L134" i="19"/>
  <c r="L120" i="21"/>
  <c r="N146" i="29"/>
  <c r="K53" i="15"/>
  <c r="L91" i="24"/>
  <c r="N150" i="19"/>
  <c r="K85"/>
  <c r="O26" i="20"/>
  <c r="N113" i="21"/>
  <c r="M101" i="28"/>
  <c r="O5" i="33"/>
  <c r="K155"/>
  <c r="L141" i="26"/>
  <c r="N49" i="18"/>
  <c r="K79" i="17"/>
  <c r="K25" i="18"/>
  <c r="K171" i="9"/>
  <c r="O170" i="26"/>
  <c r="M4" i="18"/>
  <c r="N26" i="31"/>
  <c r="N141" i="26"/>
  <c r="O75" i="11"/>
  <c r="O42" i="27"/>
  <c r="K46" i="28"/>
  <c r="L76" i="2"/>
  <c r="N6" i="26"/>
  <c r="M69" i="18"/>
  <c r="K47" i="21"/>
  <c r="N114" i="18"/>
  <c r="M75" i="29"/>
  <c r="K80" i="24"/>
  <c r="N112" i="12"/>
  <c r="O5" i="2"/>
  <c r="K84" i="12"/>
  <c r="N51" i="31"/>
  <c r="N45" i="21"/>
  <c r="M11" i="25"/>
  <c r="N25" i="21"/>
  <c r="M178" i="27"/>
  <c r="O3" i="26"/>
  <c r="K89" i="28"/>
  <c r="M142" i="18"/>
  <c r="N52" i="4"/>
  <c r="K129"/>
  <c r="L154" i="20"/>
  <c r="O93" i="4"/>
  <c r="N71" i="25"/>
  <c r="N163" i="20"/>
  <c r="M106" i="30"/>
  <c r="M92" i="21"/>
  <c r="N110" i="11"/>
  <c r="O68" i="26"/>
  <c r="O147" i="33"/>
  <c r="L67" i="18"/>
  <c r="M115" i="28"/>
  <c r="M137" i="29"/>
  <c r="L119" i="25"/>
  <c r="O6" i="29"/>
  <c r="N85" i="27"/>
  <c r="N179" i="1"/>
  <c r="K37" i="21"/>
  <c r="O102" i="12"/>
  <c r="L5" i="18"/>
  <c r="L50" i="20"/>
  <c r="N146" i="16"/>
  <c r="O125" i="4"/>
  <c r="K97" i="1"/>
  <c r="O109" i="11"/>
  <c r="O69" i="20"/>
  <c r="L40" i="24"/>
  <c r="M49" i="4"/>
  <c r="L24"/>
  <c r="O61" i="2"/>
  <c r="K129" i="17"/>
  <c r="K94" i="20"/>
  <c r="M88" i="22"/>
  <c r="K3" i="29"/>
  <c r="L89" i="28"/>
  <c r="O174" i="12"/>
  <c r="N115" i="28"/>
  <c r="N95" i="26"/>
  <c r="M159" i="15"/>
  <c r="K35" i="24"/>
  <c r="M65" i="20"/>
  <c r="O58" i="18"/>
  <c r="K95" i="16"/>
  <c r="L120" i="12"/>
  <c r="K29" i="21"/>
  <c r="M20" i="31"/>
  <c r="L3" i="10"/>
  <c r="O8" i="9"/>
  <c r="M155" i="19"/>
  <c r="O9" i="17"/>
  <c r="O93" i="29"/>
  <c r="M165" i="26"/>
  <c r="M133" i="28"/>
  <c r="N75" i="18"/>
  <c r="M94" i="26"/>
  <c r="N157" i="1"/>
  <c r="L44" i="2"/>
  <c r="M163" i="10"/>
  <c r="L163" i="15"/>
  <c r="K56" i="29"/>
  <c r="N34" i="18"/>
  <c r="O60" i="26"/>
  <c r="N117" i="21"/>
  <c r="N178" i="16"/>
  <c r="O114" i="18"/>
  <c r="M75"/>
  <c r="K95" i="12"/>
  <c r="O163" i="32"/>
  <c r="N148" i="22"/>
  <c r="O95"/>
  <c r="L56" i="26"/>
  <c r="N74" i="28"/>
  <c r="O167" i="21"/>
  <c r="O170" i="19"/>
  <c r="N126" i="20"/>
  <c r="K84" i="26"/>
  <c r="N160" i="11"/>
  <c r="L63" i="21"/>
  <c r="N44" i="20"/>
  <c r="K77" i="29"/>
  <c r="M60" i="33"/>
  <c r="N86" i="5"/>
  <c r="M170" i="10"/>
  <c r="K146" i="29"/>
  <c r="O40" i="6"/>
  <c r="L155" i="12"/>
  <c r="L53" i="18"/>
  <c r="O154" i="4"/>
  <c r="N114" i="24"/>
  <c r="M91" i="18"/>
  <c r="M168" i="32"/>
  <c r="K109" i="2"/>
  <c r="M34"/>
  <c r="M91" i="24"/>
  <c r="M19" i="30"/>
  <c r="L179" i="24"/>
  <c r="K184" i="4"/>
  <c r="N129" i="24"/>
  <c r="O117" i="17"/>
  <c r="N184"/>
  <c r="K132" i="1"/>
  <c r="K151" i="29"/>
  <c r="L35" i="33"/>
  <c r="M24" i="21"/>
  <c r="L145" i="16"/>
  <c r="O153" i="26"/>
  <c r="N49" i="10"/>
  <c r="O77" i="33"/>
  <c r="L37" i="1"/>
  <c r="O135" i="24"/>
  <c r="M178" i="2"/>
  <c r="M72" i="28"/>
  <c r="M37" i="4"/>
  <c r="M128" i="18"/>
  <c r="L118" i="12"/>
  <c r="N42" i="24"/>
  <c r="K21" i="4"/>
  <c r="N159" i="2"/>
  <c r="N65" i="26"/>
  <c r="K43" i="24"/>
  <c r="N158" i="2"/>
  <c r="K63"/>
  <c r="M110" i="29"/>
  <c r="L126" i="21"/>
  <c r="K51"/>
  <c r="L77" i="18"/>
  <c r="O101" i="21"/>
  <c r="O88" i="28"/>
  <c r="N107" i="12"/>
  <c r="M16" i="20"/>
  <c r="O143" i="10"/>
  <c r="M23" i="23"/>
  <c r="N74" i="21"/>
  <c r="L58" i="16"/>
  <c r="L155" i="2"/>
  <c r="L130" i="12"/>
  <c r="N150" i="9"/>
  <c r="L107" i="1"/>
  <c r="N81" i="21"/>
  <c r="L59"/>
  <c r="L45" i="24"/>
  <c r="L182" i="18"/>
  <c r="M11" i="20"/>
  <c r="M183" i="4"/>
  <c r="O19" i="20"/>
  <c r="N8"/>
  <c r="M182" i="9"/>
  <c r="K38" i="22"/>
  <c r="K162" i="4"/>
  <c r="L24" i="18"/>
  <c r="N26" i="20"/>
  <c r="O78" i="21"/>
  <c r="M37" i="18"/>
  <c r="K108" i="33"/>
  <c r="O77" i="11"/>
  <c r="O50" i="21"/>
  <c r="O101" i="10"/>
  <c r="K110" i="28"/>
  <c r="O106" i="21"/>
  <c r="L89" i="31"/>
  <c r="K94" i="4"/>
  <c r="L78" i="27"/>
  <c r="M11" i="11"/>
  <c r="N14" i="12"/>
  <c r="L107" i="4"/>
  <c r="N154" i="30"/>
  <c r="M98" i="26"/>
  <c r="K15" i="3"/>
  <c r="L44" i="15"/>
  <c r="O43" i="2"/>
  <c r="M31" i="9"/>
  <c r="M94" i="18"/>
  <c r="L122" i="16"/>
  <c r="K146" i="2"/>
  <c r="O147" i="18"/>
  <c r="O130" i="10"/>
  <c r="M78" i="32"/>
  <c r="L102" i="2"/>
  <c r="M30" i="4"/>
  <c r="K128" i="24"/>
  <c r="O131" i="4"/>
  <c r="M40" i="21"/>
  <c r="M49" i="26"/>
  <c r="L64" i="15"/>
  <c r="N98" i="25"/>
  <c r="M155" i="4"/>
  <c r="N126" i="28"/>
  <c r="M82" i="2"/>
  <c r="K133" i="16"/>
  <c r="N115" i="6"/>
  <c r="N53" i="12"/>
  <c r="N134" i="21"/>
  <c r="N148" i="24"/>
  <c r="O134" i="19"/>
  <c r="K72" i="29"/>
  <c r="O24" i="2"/>
  <c r="L46" i="12"/>
  <c r="O76" i="26"/>
  <c r="L43"/>
  <c r="M181" i="32"/>
  <c r="O149" i="20"/>
  <c r="N21" i="11"/>
  <c r="M132" i="4"/>
  <c r="O160" i="21"/>
  <c r="L118" i="20"/>
  <c r="M18" i="25"/>
  <c r="N171" i="16"/>
  <c r="M39" i="4"/>
  <c r="N50" i="32"/>
  <c r="L167" i="26"/>
  <c r="O145" i="18"/>
  <c r="N122" i="24"/>
  <c r="N60" i="18"/>
  <c r="K120" i="10"/>
  <c r="N111" i="20"/>
  <c r="M119" i="3"/>
  <c r="L139" i="32"/>
  <c r="N131" i="2"/>
  <c r="K142" i="5"/>
  <c r="K6" i="2"/>
  <c r="O102" i="29"/>
  <c r="M67" i="33"/>
  <c r="M109" i="29"/>
  <c r="O180" i="19"/>
  <c r="K77" i="30"/>
  <c r="L140" i="4"/>
  <c r="O163" i="24"/>
  <c r="N155" i="18"/>
  <c r="N33" i="10"/>
  <c r="K107" i="33"/>
  <c r="N170" i="12"/>
  <c r="L33" i="21"/>
  <c r="K171" i="29"/>
  <c r="N123" i="12"/>
  <c r="M99" i="2"/>
  <c r="L82" i="20"/>
  <c r="O23" i="4"/>
  <c r="K71" i="16"/>
  <c r="M114" i="2"/>
  <c r="M15" i="10"/>
  <c r="O23" i="12"/>
  <c r="M102" i="21"/>
  <c r="L163" i="18"/>
  <c r="O180" i="26"/>
  <c r="O161" i="12"/>
  <c r="N71" i="15"/>
  <c r="O6" i="26"/>
  <c r="O89" i="18"/>
  <c r="L132" i="5"/>
  <c r="K174" i="20"/>
  <c r="N171" i="22"/>
  <c r="O91" i="2"/>
  <c r="M87" i="25"/>
  <c r="K9" i="33"/>
  <c r="M143" i="29"/>
  <c r="N160" i="15"/>
  <c r="N93" i="25"/>
  <c r="K3" i="26"/>
  <c r="L115" i="18"/>
  <c r="L40" i="32"/>
  <c r="O117" i="4"/>
  <c r="K108" i="26"/>
  <c r="L51" i="21"/>
  <c r="O147" i="24"/>
  <c r="L181" i="3"/>
  <c r="K60" i="4"/>
  <c r="N184" i="12"/>
  <c r="N82" i="16"/>
  <c r="M52" i="11"/>
  <c r="N42" i="28"/>
  <c r="O65" i="21"/>
  <c r="M53" i="26"/>
  <c r="O8" i="24"/>
  <c r="K131" i="18"/>
  <c r="K132" i="25"/>
  <c r="O176" i="4"/>
  <c r="O111" i="19"/>
  <c r="L25" i="33"/>
  <c r="N68" i="26"/>
  <c r="O38" i="23"/>
  <c r="O13" i="18"/>
  <c r="K61" i="11"/>
  <c r="L129" i="29"/>
  <c r="L165" i="23"/>
  <c r="K78" i="29"/>
  <c r="M134" i="26"/>
  <c r="K57" i="23"/>
  <c r="M79" i="4"/>
  <c r="L185" i="10"/>
  <c r="L44" i="33"/>
  <c r="L123" i="3"/>
  <c r="L141" i="6"/>
  <c r="O107" i="17"/>
  <c r="L38" i="26"/>
  <c r="O182" i="23"/>
  <c r="N94"/>
  <c r="M45" i="30"/>
  <c r="O141" i="24"/>
  <c r="N182" i="27"/>
  <c r="O78" i="11"/>
  <c r="N181" i="16"/>
  <c r="M99"/>
  <c r="M122" i="25"/>
  <c r="N67" i="31"/>
  <c r="L15" i="33"/>
  <c r="N33" i="29"/>
  <c r="L147" i="33"/>
  <c r="O60" i="4"/>
  <c r="O85" i="9"/>
  <c r="K92" i="21"/>
  <c r="M92" i="19"/>
  <c r="K149" i="4"/>
  <c r="K81" i="6"/>
  <c r="O96" i="17"/>
  <c r="K151" i="2"/>
  <c r="N73"/>
  <c r="N183" i="26"/>
  <c r="O53" i="10"/>
  <c r="L10" i="27"/>
  <c r="N95" i="12"/>
  <c r="K72" i="16"/>
  <c r="M150" i="10"/>
  <c r="K147" i="2"/>
  <c r="M127" i="4"/>
  <c r="K87" i="1"/>
  <c r="K169"/>
  <c r="O97" i="31"/>
  <c r="N118" i="33"/>
  <c r="K153" i="2"/>
  <c r="K135" i="16"/>
  <c r="N172" i="5"/>
  <c r="L69" i="18"/>
  <c r="K29" i="26"/>
  <c r="M170" i="23"/>
  <c r="O4" i="21"/>
  <c r="N139" i="25"/>
  <c r="L152" i="24"/>
  <c r="M28" i="25"/>
  <c r="L99" i="10"/>
  <c r="N58" i="4"/>
  <c r="L163" i="5"/>
  <c r="L110" i="16"/>
  <c r="N163" i="22"/>
  <c r="M166" i="16"/>
  <c r="K73" i="31"/>
  <c r="O159" i="17"/>
  <c r="O58" i="33"/>
  <c r="L114" i="16"/>
  <c r="K184" i="32"/>
  <c r="K116" i="4"/>
  <c r="L36" i="22"/>
  <c r="O123" i="29"/>
  <c r="N92" i="1"/>
  <c r="L98" i="16"/>
  <c r="L59" i="12"/>
  <c r="N24" i="26"/>
  <c r="K123" i="12"/>
  <c r="O143" i="3"/>
  <c r="N181" i="29"/>
  <c r="N87" i="26"/>
  <c r="N91" i="25"/>
  <c r="K144" i="16"/>
  <c r="K135" i="12"/>
  <c r="O145" i="29"/>
  <c r="M4" i="33"/>
  <c r="M107" i="24"/>
  <c r="O102" i="11"/>
  <c r="M135"/>
  <c r="N131" i="1"/>
  <c r="N170" i="26"/>
  <c r="O115" i="24"/>
  <c r="N53" i="4"/>
  <c r="M78" i="21"/>
  <c r="L15" i="18"/>
  <c r="O122" i="2"/>
  <c r="M185" i="12"/>
  <c r="M127" i="26"/>
  <c r="K51"/>
  <c r="L97" i="31"/>
  <c r="K168" i="15"/>
  <c r="K56" i="24"/>
  <c r="N169" i="31"/>
  <c r="L139" i="11"/>
  <c r="K133" i="2"/>
  <c r="M5" i="18"/>
  <c r="M133"/>
  <c r="L106" i="6"/>
  <c r="L96" i="16"/>
  <c r="N76" i="18"/>
  <c r="N61" i="11"/>
  <c r="N165" i="32"/>
  <c r="N116" i="17"/>
  <c r="N155" i="24"/>
  <c r="N69" i="11"/>
  <c r="K160" i="29"/>
  <c r="O49" i="28"/>
  <c r="L168" i="2"/>
  <c r="L77" i="21"/>
  <c r="L180" i="26"/>
  <c r="K135" i="6"/>
  <c r="L181" i="17"/>
  <c r="M135" i="32"/>
  <c r="L131" i="15"/>
  <c r="K178" i="5"/>
  <c r="O116" i="6"/>
  <c r="N47" i="4"/>
  <c r="N99" i="10"/>
  <c r="N47"/>
  <c r="L96" i="15"/>
  <c r="M140" i="17"/>
  <c r="N140" i="25"/>
  <c r="N116" i="19"/>
  <c r="O44" i="9"/>
  <c r="O39" i="18"/>
  <c r="L59" i="9"/>
  <c r="O26"/>
  <c r="L67" i="31"/>
  <c r="N101" i="16"/>
  <c r="M131" i="24"/>
  <c r="M51" i="27"/>
  <c r="O122" i="6"/>
  <c r="L111" i="2"/>
  <c r="L121" i="15"/>
  <c r="K68" i="10"/>
  <c r="O106" i="16"/>
  <c r="N34" i="25"/>
  <c r="K106" i="2"/>
  <c r="K21" i="33"/>
  <c r="O56" i="4"/>
  <c r="O29" i="26"/>
  <c r="L45" i="18"/>
  <c r="O139" i="20"/>
  <c r="O56" i="12"/>
  <c r="K29" i="24"/>
  <c r="M4" i="21"/>
  <c r="L64" i="20"/>
  <c r="N6" i="18"/>
  <c r="K25" i="21"/>
  <c r="L179" i="28"/>
  <c r="N46" i="24"/>
  <c r="M134" i="20"/>
  <c r="O179" i="26"/>
  <c r="L30" i="28"/>
  <c r="O142" i="18"/>
  <c r="O161" i="20"/>
  <c r="M154" i="24"/>
  <c r="M43"/>
  <c r="K6" i="9"/>
  <c r="K161" i="24"/>
  <c r="K134" i="12"/>
  <c r="K64" i="28"/>
  <c r="L178" i="22"/>
  <c r="M137" i="18"/>
  <c r="K148" i="15"/>
  <c r="L44" i="32"/>
  <c r="L140" i="10"/>
  <c r="K174" i="19"/>
  <c r="O33" i="10"/>
  <c r="M183" i="18"/>
  <c r="M38" i="24"/>
  <c r="M178" i="15"/>
  <c r="O181" i="29"/>
  <c r="L87" i="6"/>
  <c r="O95" i="26"/>
  <c r="O151" i="23"/>
  <c r="N136" i="24"/>
  <c r="L39" i="10"/>
  <c r="O137" i="9"/>
  <c r="K18" i="4"/>
  <c r="M120" i="26"/>
  <c r="N35" i="2"/>
  <c r="N118" i="28"/>
  <c r="L184" i="11"/>
  <c r="N47" i="28"/>
  <c r="K135"/>
  <c r="N120" i="32"/>
  <c r="M67" i="20"/>
  <c r="K40" i="21"/>
  <c r="K81" i="28"/>
  <c r="K101" i="31"/>
  <c r="N179" i="25"/>
  <c r="N30" i="18"/>
  <c r="N174" i="28"/>
  <c r="L173" i="25"/>
  <c r="K94" i="11"/>
  <c r="M39" i="28"/>
  <c r="M131" i="33"/>
  <c r="L66" i="3"/>
  <c r="L130" i="4"/>
  <c r="O108" i="26"/>
  <c r="L29"/>
  <c r="L23" i="12"/>
  <c r="N29" i="28"/>
  <c r="N4" i="33"/>
  <c r="O91" i="21"/>
  <c r="N134" i="16"/>
  <c r="O169" i="18"/>
  <c r="M162" i="11"/>
  <c r="K172" i="9"/>
  <c r="O167" i="12"/>
  <c r="O147" i="5"/>
  <c r="M68" i="29"/>
  <c r="N3" i="24"/>
  <c r="O88" i="20"/>
  <c r="N117" i="29"/>
  <c r="K45" i="16"/>
  <c r="K93" i="20"/>
  <c r="O98" i="26"/>
  <c r="O89" i="20"/>
  <c r="O36" i="30"/>
  <c r="K88" i="12"/>
  <c r="N23" i="20"/>
  <c r="O179" i="29"/>
  <c r="K50" i="19"/>
  <c r="M165" i="9"/>
  <c r="K137" i="12"/>
  <c r="O153" i="18"/>
  <c r="O23" i="16"/>
  <c r="K111" i="27"/>
  <c r="O125" i="11"/>
  <c r="M99" i="12"/>
  <c r="N46" i="32"/>
  <c r="L142" i="10"/>
  <c r="L131" i="9"/>
  <c r="K57" i="15"/>
  <c r="O121" i="22"/>
  <c r="M45" i="2"/>
  <c r="O72" i="28"/>
  <c r="N18" i="6"/>
  <c r="K11" i="3"/>
  <c r="N100" i="27"/>
  <c r="O101" i="28"/>
  <c r="L126"/>
  <c r="O178" i="10"/>
  <c r="L28" i="4"/>
  <c r="N63" i="24"/>
  <c r="N86" i="9"/>
  <c r="O68" i="12"/>
  <c r="N52" i="28"/>
  <c r="K144" i="19"/>
  <c r="M11"/>
  <c r="M173" i="4"/>
  <c r="O120" i="10"/>
  <c r="L113" i="33"/>
  <c r="K135" i="1"/>
  <c r="O161" i="18"/>
  <c r="L74" i="6"/>
  <c r="K44" i="2"/>
  <c r="M13" i="20"/>
  <c r="K72" i="21"/>
  <c r="O81" i="4"/>
  <c r="N45" i="18"/>
  <c r="M144" i="2"/>
  <c r="L79" i="26"/>
  <c r="N140" i="10"/>
  <c r="K145" i="12"/>
  <c r="L120" i="33"/>
  <c r="N129" i="29"/>
  <c r="K121" i="18"/>
  <c r="K20" i="19"/>
  <c r="O132" i="2"/>
  <c r="N18" i="25"/>
  <c r="M100" i="21"/>
  <c r="O30" i="33"/>
  <c r="L23" i="26"/>
  <c r="O134" i="15"/>
  <c r="N120" i="2"/>
  <c r="L109" i="11"/>
  <c r="L114" i="28"/>
  <c r="L43" i="24"/>
  <c r="O46" i="28"/>
  <c r="K102" i="21"/>
  <c r="M72" i="12"/>
  <c r="K137" i="10"/>
  <c r="O68" i="1"/>
  <c r="N165" i="25"/>
  <c r="M69" i="24"/>
  <c r="K85" i="2"/>
  <c r="N26" i="10"/>
  <c r="M161" i="20"/>
  <c r="N3" i="26"/>
  <c r="M30" i="28"/>
  <c r="K151" i="21"/>
  <c r="O75" i="9"/>
  <c r="O3" i="24"/>
  <c r="L111" i="20"/>
  <c r="L111" i="27"/>
  <c r="O26" i="4"/>
  <c r="M162" i="9"/>
  <c r="K98" i="2"/>
  <c r="M112" i="16"/>
  <c r="K92" i="11"/>
  <c r="K38" i="28"/>
  <c r="N101" i="15"/>
  <c r="O79" i="28"/>
  <c r="K130" i="20"/>
  <c r="M165"/>
  <c r="N116" i="26"/>
  <c r="L54" i="33"/>
  <c r="M42" i="21"/>
  <c r="K38"/>
  <c r="K153" i="19"/>
  <c r="K18" i="21"/>
  <c r="O153" i="11"/>
  <c r="O152" i="17"/>
  <c r="M101" i="4"/>
  <c r="K171" i="21"/>
  <c r="N119" i="12"/>
  <c r="L23" i="33"/>
  <c r="L10" i="20"/>
  <c r="L94" i="27"/>
  <c r="K9" i="15"/>
  <c r="M163" i="31"/>
  <c r="K18" i="26"/>
  <c r="K141" i="31"/>
  <c r="K172" i="10"/>
  <c r="O139" i="9"/>
  <c r="K60" i="21"/>
  <c r="N142" i="10"/>
  <c r="N135" i="18"/>
  <c r="M13" i="9"/>
  <c r="M171" i="21"/>
  <c r="M96" i="17"/>
  <c r="N127" i="21"/>
  <c r="O112" i="10"/>
  <c r="K89" i="2"/>
  <c r="N139" i="12"/>
  <c r="N31" i="21"/>
  <c r="O75" i="29"/>
  <c r="M111" i="26"/>
  <c r="M112" i="10"/>
  <c r="K142" i="25"/>
  <c r="K31" i="18"/>
  <c r="N109" i="2"/>
  <c r="K10"/>
  <c r="M11" i="12"/>
  <c r="O3" i="25"/>
  <c r="M86" i="21"/>
  <c r="M123"/>
  <c r="N149" i="29"/>
  <c r="O184" i="12"/>
  <c r="O50" i="25"/>
  <c r="O113" i="28"/>
  <c r="N56" i="10"/>
  <c r="M24" i="12"/>
  <c r="K162" i="26"/>
  <c r="O109" i="16"/>
  <c r="K185" i="24"/>
  <c r="N152" i="20"/>
  <c r="O15" i="30"/>
  <c r="K33" i="26"/>
  <c r="L47" i="27"/>
  <c r="N161" i="22"/>
  <c r="M179" i="18"/>
  <c r="M110" i="4"/>
  <c r="L100" i="10"/>
  <c r="N36" i="22"/>
  <c r="N167" i="23"/>
  <c r="M16" i="31"/>
  <c r="O18" i="12"/>
  <c r="L79" i="9"/>
  <c r="L52" i="18"/>
  <c r="L135" i="26"/>
  <c r="N54" i="10"/>
  <c r="N174"/>
  <c r="L123" i="12"/>
  <c r="L5" i="33"/>
  <c r="O127" i="20"/>
  <c r="K61" i="15"/>
  <c r="N170" i="24"/>
  <c r="O91" i="4"/>
  <c r="M76" i="31"/>
  <c r="O126" i="10"/>
  <c r="O65" i="25"/>
  <c r="K152" i="17"/>
  <c r="K61" i="6"/>
  <c r="N11" i="5"/>
  <c r="L145" i="19"/>
  <c r="K19" i="15"/>
  <c r="L142" i="1"/>
  <c r="O123" i="17"/>
  <c r="O135" i="29"/>
  <c r="N86" i="28"/>
  <c r="L39" i="4"/>
  <c r="K61" i="32"/>
  <c r="O178" i="25"/>
  <c r="N179" i="4"/>
  <c r="L185" i="12"/>
  <c r="O21" i="16"/>
  <c r="K140" i="24"/>
  <c r="L144" i="26"/>
  <c r="O116" i="11"/>
  <c r="K69" i="21"/>
  <c r="L172" i="25"/>
  <c r="K13" i="24"/>
  <c r="K26" i="2"/>
  <c r="K97" i="21"/>
  <c r="K92" i="2"/>
  <c r="L177" i="25"/>
  <c r="O33" i="4"/>
  <c r="O71" i="26"/>
  <c r="L77" i="30"/>
  <c r="N159" i="12"/>
  <c r="M63" i="2"/>
  <c r="O155" i="32"/>
  <c r="L50" i="30"/>
  <c r="M179" i="21"/>
  <c r="M56" i="25"/>
  <c r="M10" i="21"/>
  <c r="O177" i="12"/>
  <c r="O143" i="24"/>
  <c r="K135"/>
  <c r="N165" i="33"/>
  <c r="L54" i="12"/>
  <c r="O85" i="5"/>
  <c r="O121"/>
  <c r="L45" i="26"/>
  <c r="K5" i="2"/>
  <c r="K159" i="15"/>
  <c r="L69" i="28"/>
  <c r="O129" i="20"/>
  <c r="M185" i="18"/>
  <c r="K39" i="19"/>
  <c r="N184" i="11"/>
  <c r="L79" i="28"/>
  <c r="L87" i="20"/>
  <c r="K157" i="11"/>
  <c r="K81" i="25"/>
  <c r="N106" i="2"/>
  <c r="O34" i="20"/>
  <c r="O168" i="33"/>
  <c r="K157" i="23"/>
  <c r="K113" i="2"/>
  <c r="L30" i="18"/>
  <c r="M99" i="26"/>
  <c r="N57" i="27"/>
  <c r="O185" i="25"/>
  <c r="O140" i="24"/>
  <c r="K85" i="29"/>
  <c r="L33" i="28"/>
  <c r="L30" i="2"/>
  <c r="L158" i="27"/>
  <c r="K81" i="33"/>
  <c r="M63" i="24"/>
  <c r="K159" i="25"/>
  <c r="M66" i="24"/>
  <c r="N143" i="20"/>
  <c r="L166" i="33"/>
  <c r="L101" i="27"/>
  <c r="K65" i="2"/>
  <c r="N148" i="12"/>
  <c r="M60" i="16"/>
  <c r="K68" i="25"/>
  <c r="K93" i="23"/>
  <c r="O51" i="16"/>
  <c r="L167" i="21"/>
  <c r="M167" i="24"/>
  <c r="L106" i="30"/>
  <c r="O147" i="12"/>
  <c r="K144" i="4"/>
  <c r="N36" i="26"/>
  <c r="N127" i="11"/>
  <c r="O170" i="29"/>
  <c r="N158" i="30"/>
  <c r="N154" i="4"/>
  <c r="L37" i="21"/>
  <c r="M108" i="12"/>
  <c r="L182" i="17"/>
  <c r="M157" i="16"/>
  <c r="M182" i="1"/>
  <c r="N46" i="12"/>
  <c r="O29" i="33"/>
  <c r="M155" i="26"/>
  <c r="N98" i="20"/>
  <c r="M154" i="28"/>
  <c r="N159" i="27"/>
  <c r="N128" i="29"/>
  <c r="O144" i="5"/>
  <c r="N65" i="21"/>
  <c r="O137" i="24"/>
  <c r="K184" i="20"/>
  <c r="K15" i="9"/>
  <c r="O82" i="6"/>
  <c r="N152" i="4"/>
  <c r="O165" i="24"/>
  <c r="O136" i="17"/>
  <c r="K8" i="4"/>
  <c r="M58" i="21"/>
  <c r="N79" i="12"/>
  <c r="O36" i="27"/>
  <c r="L24" i="2"/>
  <c r="K130" i="9"/>
  <c r="N111" i="6"/>
  <c r="O24" i="4"/>
  <c r="K148" i="29"/>
  <c r="N64" i="1"/>
  <c r="K49"/>
  <c r="K184" i="18"/>
  <c r="O26" i="33"/>
  <c r="M148" i="15"/>
  <c r="N185" i="24"/>
  <c r="L72" i="28"/>
  <c r="K176" i="11"/>
  <c r="N13" i="15"/>
  <c r="O76" i="29"/>
  <c r="L49" i="6"/>
  <c r="O75" i="30"/>
  <c r="M154" i="25"/>
  <c r="M101" i="17"/>
  <c r="K43" i="32"/>
  <c r="L130" i="25"/>
  <c r="N79" i="24"/>
  <c r="O113" i="1"/>
  <c r="K145" i="22"/>
  <c r="K159" i="32"/>
  <c r="N139" i="2"/>
  <c r="L96" i="6"/>
  <c r="L129" i="17"/>
  <c r="O99" i="22"/>
  <c r="N150" i="23"/>
  <c r="M91" i="27"/>
  <c r="O100" i="26"/>
  <c r="M184" i="33"/>
  <c r="N154" i="29"/>
  <c r="O26" i="1"/>
  <c r="N35" i="20"/>
  <c r="M81" i="16"/>
  <c r="L45" i="25"/>
  <c r="N87" i="33"/>
  <c r="M181" i="6"/>
  <c r="L11" i="33"/>
  <c r="K162" i="22"/>
  <c r="K79" i="16"/>
  <c r="M174" i="9"/>
  <c r="N89" i="23"/>
  <c r="L23" i="5"/>
  <c r="M19" i="31"/>
  <c r="L119" i="10"/>
  <c r="L52" i="11"/>
  <c r="K182" i="10"/>
  <c r="N75" i="5"/>
  <c r="N24" i="2"/>
  <c r="M165"/>
  <c r="K151" i="20"/>
  <c r="N79" i="29"/>
  <c r="M67" i="10"/>
  <c r="N162" i="25"/>
  <c r="M115" i="5"/>
  <c r="O139" i="11"/>
  <c r="K162" i="15"/>
  <c r="L148" i="3"/>
  <c r="O134" i="33"/>
  <c r="L145" i="24"/>
  <c r="N30" i="26"/>
  <c r="K95" i="9"/>
  <c r="M91" i="33"/>
  <c r="O51" i="20"/>
  <c r="O36" i="17"/>
  <c r="M18" i="6"/>
  <c r="L9" i="3"/>
  <c r="N139" i="10"/>
  <c r="L16" i="21"/>
  <c r="M95" i="18"/>
  <c r="K132"/>
  <c r="M42" i="24"/>
  <c r="K18" i="10"/>
  <c r="M61" i="30"/>
  <c r="M108" i="19"/>
  <c r="L155" i="26"/>
  <c r="K120" i="24"/>
  <c r="O97" i="2"/>
  <c r="O80" i="21"/>
  <c r="K80" i="4"/>
  <c r="K79" i="26"/>
  <c r="N36" i="23"/>
  <c r="M37" i="21"/>
  <c r="O19" i="28"/>
  <c r="M162" i="10"/>
  <c r="N102" i="12"/>
  <c r="N182" i="6"/>
  <c r="N106" i="10"/>
  <c r="N176" i="29"/>
  <c r="O13" i="16"/>
  <c r="O99" i="6"/>
  <c r="L68" i="21"/>
  <c r="K131" i="11"/>
  <c r="O13" i="26"/>
  <c r="K117" i="20"/>
  <c r="M77" i="16"/>
  <c r="L118" i="2"/>
  <c r="N102" i="15"/>
  <c r="K106" i="10"/>
  <c r="K59" i="24"/>
  <c r="K133" i="32"/>
  <c r="L157" i="26"/>
  <c r="L59" i="15"/>
  <c r="M75" i="10"/>
  <c r="O53" i="11"/>
  <c r="O143" i="28"/>
  <c r="N13" i="25"/>
  <c r="L73" i="15"/>
  <c r="N91" i="27"/>
  <c r="N19" i="28"/>
  <c r="K6"/>
  <c r="M3" i="31"/>
  <c r="L166" i="23"/>
  <c r="L127" i="1"/>
  <c r="M168" i="6"/>
  <c r="N179" i="21"/>
  <c r="K66" i="11"/>
  <c r="N18" i="26"/>
  <c r="M33" i="4"/>
  <c r="L79" i="27"/>
  <c r="K115" i="25"/>
  <c r="O31" i="3"/>
  <c r="M165" i="4"/>
  <c r="O34" i="16"/>
  <c r="K57" i="19"/>
  <c r="N28" i="2"/>
  <c r="N122" i="9"/>
  <c r="O52" i="10"/>
  <c r="L110" i="12"/>
  <c r="M60" i="25"/>
  <c r="K52" i="27"/>
  <c r="K101" i="15"/>
  <c r="M151" i="27"/>
  <c r="L86" i="26"/>
  <c r="L119" i="17"/>
  <c r="L122" i="11"/>
  <c r="M86" i="32"/>
  <c r="N109" i="15"/>
  <c r="K172" i="22"/>
  <c r="L81" i="20"/>
  <c r="N9" i="11"/>
  <c r="M159" i="21"/>
  <c r="M64" i="20"/>
  <c r="L63" i="12"/>
  <c r="M58" i="29"/>
  <c r="L30" i="12"/>
  <c r="M60" i="31"/>
  <c r="K128" i="18"/>
  <c r="O65" i="20"/>
  <c r="L127" i="11"/>
  <c r="K163" i="4"/>
  <c r="K115" i="21"/>
  <c r="N139" i="26"/>
  <c r="L150" i="24"/>
  <c r="L52" i="2"/>
  <c r="K74" i="28"/>
  <c r="K132" i="24"/>
  <c r="K50" i="16"/>
  <c r="O64" i="21"/>
  <c r="N52" i="16"/>
  <c r="N74" i="10"/>
  <c r="M94" i="2"/>
  <c r="M84" i="24"/>
  <c r="L93" i="26"/>
  <c r="O110" i="2"/>
  <c r="L162" i="18"/>
  <c r="K171" i="20"/>
  <c r="L181" i="29"/>
  <c r="L121" i="12"/>
  <c r="N137" i="20"/>
  <c r="O182" i="10"/>
  <c r="N116" i="24"/>
  <c r="O28" i="21"/>
  <c r="M135" i="25"/>
  <c r="K135" i="33"/>
  <c r="L40" i="26"/>
  <c r="M80" i="21"/>
  <c r="K76" i="33"/>
  <c r="K106" i="21"/>
  <c r="O31" i="10"/>
  <c r="O40" i="21"/>
  <c r="L134" i="26"/>
  <c r="O42"/>
  <c r="O24" i="19"/>
  <c r="M49" i="12"/>
  <c r="M180" i="15"/>
  <c r="K75" i="33"/>
  <c r="N131" i="20"/>
  <c r="O11" i="25"/>
  <c r="L160" i="10"/>
  <c r="N59" i="16"/>
  <c r="O87" i="1"/>
  <c r="O142" i="26"/>
  <c r="M73" i="25"/>
  <c r="N98" i="4"/>
  <c r="K14" i="18"/>
  <c r="O128" i="29"/>
  <c r="M166" i="6"/>
  <c r="N75" i="25"/>
  <c r="O92" i="4"/>
  <c r="K172" i="20"/>
  <c r="L45" i="27"/>
  <c r="N116"/>
  <c r="K141" i="28"/>
  <c r="K113" i="24"/>
  <c r="L91" i="18"/>
  <c r="O95" i="28"/>
  <c r="L159" i="33"/>
  <c r="N6" i="2"/>
  <c r="M93" i="11"/>
  <c r="L91" i="4"/>
  <c r="L44" i="3"/>
  <c r="M102" i="31"/>
  <c r="K167" i="10"/>
  <c r="M148" i="16"/>
  <c r="O66" i="11"/>
  <c r="L46" i="33"/>
  <c r="L108" i="4"/>
  <c r="M113" i="12"/>
  <c r="O42" i="29"/>
  <c r="N151" i="4"/>
  <c r="K57" i="28"/>
  <c r="K49" i="26"/>
  <c r="O158" i="33"/>
  <c r="M155"/>
  <c r="N10"/>
  <c r="N16" i="28"/>
  <c r="N185" i="2"/>
  <c r="K31" i="21"/>
  <c r="K180" i="27"/>
  <c r="O141" i="2"/>
  <c r="N115" i="19"/>
  <c r="O18"/>
  <c r="M72" i="33"/>
  <c r="N121" i="11"/>
  <c r="M136" i="21"/>
  <c r="M20" i="18"/>
  <c r="K165" i="3"/>
  <c r="M168" i="20"/>
  <c r="O95" i="12"/>
  <c r="L123" i="6"/>
  <c r="M162" i="5"/>
  <c r="N46" i="30"/>
  <c r="L47" i="21"/>
  <c r="O151" i="12"/>
  <c r="K81" i="32"/>
  <c r="O59" i="27"/>
  <c r="O143" i="2"/>
  <c r="O136" i="21"/>
  <c r="N53" i="11"/>
  <c r="N56" i="30"/>
  <c r="N167" i="26"/>
  <c r="K67" i="33"/>
  <c r="O130" i="16"/>
  <c r="M99" i="20"/>
  <c r="K81" i="2"/>
  <c r="O111" i="17"/>
  <c r="N151" i="20"/>
  <c r="M53" i="4"/>
  <c r="L98" i="21"/>
  <c r="O68" i="4"/>
  <c r="O71" i="23"/>
  <c r="O92" i="26"/>
  <c r="K134" i="2"/>
  <c r="N60" i="29"/>
  <c r="O165" i="21"/>
  <c r="N30" i="12"/>
  <c r="M107" i="26"/>
  <c r="L130"/>
  <c r="O171" i="24"/>
  <c r="N25" i="18"/>
  <c r="L59" i="4"/>
  <c r="N143" i="27"/>
  <c r="K112" i="4"/>
  <c r="O91" i="26"/>
  <c r="K64" i="3"/>
  <c r="O158" i="32"/>
  <c r="N162" i="30"/>
  <c r="K6" i="17"/>
  <c r="K126" i="29"/>
  <c r="N123" i="26"/>
  <c r="L125" i="21"/>
  <c r="N78" i="5"/>
  <c r="M148" i="28"/>
  <c r="M100" i="3"/>
  <c r="N21" i="10"/>
  <c r="L166" i="17"/>
  <c r="O53" i="27"/>
  <c r="K108" i="4"/>
  <c r="O109" i="15"/>
  <c r="M125" i="31"/>
  <c r="O21" i="9"/>
  <c r="M151" i="21"/>
  <c r="L74" i="4"/>
  <c r="O24" i="26"/>
  <c r="L44" i="5"/>
  <c r="O132" i="26"/>
  <c r="M6" i="28"/>
  <c r="L149" i="15"/>
  <c r="N42" i="33"/>
  <c r="N56" i="3"/>
  <c r="L34" i="24"/>
  <c r="M171" i="31"/>
  <c r="N28" i="28"/>
  <c r="M150" i="9"/>
  <c r="O118" i="10"/>
  <c r="N112" i="22"/>
  <c r="K15" i="19"/>
  <c r="L53" i="16"/>
  <c r="K88" i="24"/>
  <c r="L59" i="30"/>
  <c r="M79" i="29"/>
  <c r="O59"/>
  <c r="M115" i="2"/>
  <c r="K96" i="10"/>
  <c r="O167" i="11"/>
  <c r="K9"/>
  <c r="N153" i="27"/>
  <c r="O35" i="18"/>
  <c r="L78" i="31"/>
  <c r="M44" i="2"/>
  <c r="M14" i="20"/>
  <c r="K68" i="9"/>
  <c r="K167" i="19"/>
  <c r="N140" i="2"/>
  <c r="K78" i="31"/>
  <c r="N88" i="21"/>
  <c r="M172" i="16"/>
  <c r="M91" i="20"/>
  <c r="K92" i="28"/>
  <c r="M72" i="10"/>
  <c r="L149" i="19"/>
  <c r="M11" i="5"/>
  <c r="L152" i="27"/>
  <c r="N18" i="28"/>
  <c r="O66" i="18"/>
  <c r="O81" i="1"/>
  <c r="K96" i="3"/>
  <c r="O126" i="25"/>
  <c r="N61" i="2"/>
  <c r="O24" i="29"/>
  <c r="O47" i="32"/>
  <c r="M163" i="4"/>
  <c r="O37" i="1"/>
  <c r="K173" i="18"/>
  <c r="N21" i="4"/>
  <c r="L45" i="19"/>
  <c r="L29" i="18"/>
  <c r="O182" i="1"/>
  <c r="O56" i="16"/>
  <c r="M145" i="18"/>
  <c r="K54" i="30"/>
  <c r="O99" i="32"/>
  <c r="M78" i="25"/>
  <c r="K135" i="26"/>
  <c r="M50" i="3"/>
  <c r="M176" i="28"/>
  <c r="O82" i="21"/>
  <c r="K165" i="27"/>
  <c r="M158" i="11"/>
  <c r="K95" i="18"/>
  <c r="N111" i="3"/>
  <c r="M145" i="23"/>
  <c r="M120" i="6"/>
  <c r="L84" i="28"/>
  <c r="K178" i="2"/>
  <c r="K82" i="21"/>
  <c r="K179" i="27"/>
  <c r="M158" i="22"/>
  <c r="L37" i="25"/>
  <c r="L172" i="19"/>
  <c r="N46" i="27"/>
  <c r="O119" i="6"/>
  <c r="O10" i="2"/>
  <c r="M14" i="11"/>
  <c r="K122" i="20"/>
  <c r="N144" i="33"/>
  <c r="L33" i="9"/>
  <c r="N126" i="19"/>
  <c r="N127" i="25"/>
  <c r="L110" i="9"/>
  <c r="L132" i="1"/>
  <c r="L115" i="5"/>
  <c r="K59" i="3"/>
  <c r="K121" i="30"/>
  <c r="L147" i="26"/>
  <c r="K154" i="20"/>
  <c r="M35" i="25"/>
  <c r="K11"/>
  <c r="M88" i="19"/>
  <c r="L177" i="28"/>
  <c r="L100" i="25"/>
  <c r="O168" i="30"/>
  <c r="L5" i="26"/>
  <c r="K26" i="20"/>
  <c r="O56" i="18"/>
  <c r="K37" i="30"/>
  <c r="L60" i="10"/>
  <c r="N131" i="28"/>
  <c r="N94" i="25"/>
  <c r="K145" i="19"/>
  <c r="K38" i="10"/>
  <c r="N97" i="15"/>
  <c r="O99" i="21"/>
  <c r="N141" i="12"/>
  <c r="O179" i="4"/>
  <c r="M171"/>
  <c r="L73" i="19"/>
  <c r="L26" i="12"/>
  <c r="M179" i="19"/>
  <c r="L71" i="32"/>
  <c r="K133" i="4"/>
  <c r="O174"/>
  <c r="O29"/>
  <c r="O170" i="31"/>
  <c r="K58" i="1"/>
  <c r="K109" i="10"/>
  <c r="M42" i="25"/>
  <c r="L134" i="12"/>
  <c r="N8" i="21"/>
  <c r="L68" i="6"/>
  <c r="L10" i="33"/>
  <c r="K141" i="32"/>
  <c r="N180" i="11"/>
  <c r="M47" i="20"/>
  <c r="K81" i="16"/>
  <c r="N160" i="5"/>
  <c r="K8" i="3"/>
  <c r="O107" i="12"/>
  <c r="N67" i="26"/>
  <c r="L150" i="30"/>
  <c r="L24" i="24"/>
  <c r="K30" i="21"/>
  <c r="K34" i="20"/>
  <c r="N99" i="27"/>
  <c r="N68" i="24"/>
  <c r="N34" i="19"/>
  <c r="K135" i="18"/>
  <c r="L167"/>
  <c r="M116" i="26"/>
  <c r="N43" i="16"/>
  <c r="L184" i="28"/>
  <c r="O145" i="4"/>
  <c r="K81"/>
  <c r="K163" i="20"/>
  <c r="N172" i="21"/>
  <c r="K69" i="15"/>
  <c r="K16" i="25"/>
  <c r="O178" i="30"/>
  <c r="O143" i="11"/>
  <c r="K112" i="18"/>
  <c r="N185" i="9"/>
  <c r="K113" i="33"/>
  <c r="L110" i="20"/>
  <c r="N101" i="30"/>
  <c r="K176" i="20"/>
  <c r="M109" i="6"/>
  <c r="L82" i="18"/>
  <c r="M8" i="26"/>
  <c r="K114" i="24"/>
  <c r="L108" i="1"/>
  <c r="L3" i="16"/>
  <c r="N8" i="30"/>
  <c r="L28"/>
  <c r="M43" i="33"/>
  <c r="M88" i="3"/>
  <c r="N46" i="6"/>
  <c r="M85" i="23"/>
  <c r="N148" i="29"/>
  <c r="L80" i="30"/>
  <c r="K67" i="17"/>
  <c r="K59" i="27"/>
  <c r="N153" i="24"/>
  <c r="L72"/>
  <c r="N93" i="29"/>
  <c r="M129" i="12"/>
  <c r="M16" i="28"/>
  <c r="K108" i="22"/>
  <c r="L108" i="2"/>
  <c r="M76" i="18"/>
  <c r="N139" i="28"/>
  <c r="K126" i="26"/>
  <c r="O153" i="6"/>
  <c r="L119" i="4"/>
  <c r="M4" i="10"/>
  <c r="L181" i="18"/>
  <c r="M37" i="22"/>
  <c r="M14" i="21"/>
  <c r="K26" i="27"/>
  <c r="O78" i="6"/>
  <c r="O51" i="10"/>
  <c r="N158" i="23"/>
  <c r="N8" i="24"/>
  <c r="N82" i="23"/>
  <c r="N171" i="17"/>
  <c r="O152" i="11"/>
  <c r="M38"/>
  <c r="K4" i="17"/>
  <c r="K86" i="11"/>
  <c r="N125" i="18"/>
  <c r="M155" i="28"/>
  <c r="O168" i="18"/>
  <c r="K111" i="30"/>
  <c r="L137" i="26"/>
  <c r="M119" i="4"/>
  <c r="O131" i="25"/>
  <c r="O172" i="18"/>
  <c r="N9" i="16"/>
  <c r="K128" i="26"/>
  <c r="M132" i="33"/>
  <c r="N112" i="4"/>
  <c r="O24" i="18"/>
  <c r="K76" i="12"/>
  <c r="K116" i="21"/>
  <c r="O118" i="26"/>
  <c r="O149" i="4"/>
  <c r="M180" i="26"/>
  <c r="O96" i="2"/>
  <c r="N46" i="17"/>
  <c r="N166" i="12"/>
  <c r="M65" i="3"/>
  <c r="M78" i="4"/>
  <c r="N140" i="26"/>
  <c r="L133" i="24"/>
  <c r="O58" i="16"/>
  <c r="K163" i="17"/>
  <c r="N52" i="27"/>
  <c r="O52" i="32"/>
  <c r="K163" i="25"/>
  <c r="K21" i="29"/>
  <c r="N161" i="23"/>
  <c r="K109" i="26"/>
  <c r="N107" i="2"/>
  <c r="L119" i="24"/>
  <c r="K29" i="4"/>
  <c r="O36" i="28"/>
  <c r="M49" i="21"/>
  <c r="M44"/>
  <c r="K30" i="5"/>
  <c r="L92" i="24"/>
  <c r="K47" i="10"/>
  <c r="M88" i="26"/>
  <c r="K16" i="18"/>
  <c r="M100" i="4"/>
  <c r="K160" i="24"/>
  <c r="M45" i="10"/>
  <c r="N129" i="22"/>
  <c r="N107" i="21"/>
  <c r="L120" i="26"/>
  <c r="M51" i="4"/>
  <c r="O37" i="32"/>
  <c r="N23" i="18"/>
  <c r="N97" i="4"/>
  <c r="N26" i="29"/>
  <c r="O162" i="25"/>
  <c r="L174" i="12"/>
  <c r="N131" i="4"/>
  <c r="O92" i="32"/>
  <c r="M99" i="11"/>
  <c r="M151" i="28"/>
  <c r="O130" i="18"/>
  <c r="N106" i="16"/>
  <c r="N75" i="9"/>
  <c r="O85" i="26"/>
  <c r="N179" i="5"/>
  <c r="M102" i="10"/>
  <c r="K181" i="20"/>
  <c r="L139" i="18"/>
  <c r="L92" i="16"/>
  <c r="L8" i="26"/>
  <c r="L96" i="3"/>
  <c r="L180" i="1"/>
  <c r="M43" i="10"/>
  <c r="M143" i="18"/>
  <c r="M20" i="24"/>
  <c r="M178" i="28"/>
  <c r="N31" i="1"/>
  <c r="M107" i="10"/>
  <c r="M9" i="23"/>
  <c r="N67" i="15"/>
  <c r="K115"/>
  <c r="K159" i="2"/>
  <c r="L88" i="33"/>
  <c r="N4" i="20"/>
  <c r="N10" i="22"/>
  <c r="L152" i="10"/>
  <c r="O35" i="19"/>
  <c r="N42" i="31"/>
  <c r="K21" i="28"/>
  <c r="L123"/>
  <c r="O5" i="1"/>
  <c r="O28" i="19"/>
  <c r="K125" i="27"/>
  <c r="O49" i="10"/>
  <c r="N107" i="1"/>
  <c r="O158" i="3"/>
  <c r="L99" i="31"/>
  <c r="K6" i="20"/>
  <c r="K91" i="15"/>
  <c r="K170" i="21"/>
  <c r="N46" i="4"/>
  <c r="O8" i="20"/>
  <c r="K165" i="26"/>
  <c r="L180" i="9"/>
  <c r="L42" i="33"/>
  <c r="O11" i="26"/>
  <c r="O43" i="4"/>
  <c r="N39" i="11"/>
  <c r="N163" i="24"/>
  <c r="L131" i="4"/>
  <c r="K26" i="33"/>
  <c r="M75" i="12"/>
  <c r="M97" i="16"/>
  <c r="O121"/>
  <c r="O110" i="28"/>
  <c r="L179" i="10"/>
  <c r="L139" i="17"/>
  <c r="M45"/>
  <c r="K8" i="18"/>
  <c r="O101" i="12"/>
  <c r="L184" i="32"/>
  <c r="N53" i="21"/>
  <c r="M140" i="19"/>
  <c r="O141"/>
  <c r="N114" i="11"/>
  <c r="O37" i="26"/>
  <c r="M149" i="29"/>
  <c r="M23" i="12"/>
  <c r="O20" i="18"/>
  <c r="K176" i="19"/>
  <c r="N174" i="9"/>
  <c r="M179" i="4"/>
  <c r="L30" i="33"/>
  <c r="L111" i="30"/>
  <c r="L117" i="4"/>
  <c r="O155" i="21"/>
  <c r="L84" i="12"/>
  <c r="L182" i="2"/>
  <c r="N66" i="9"/>
  <c r="N146" i="4"/>
  <c r="N63"/>
  <c r="O47" i="24"/>
  <c r="M40" i="18"/>
  <c r="K166" i="19"/>
  <c r="L87" i="29"/>
  <c r="M165" i="18"/>
  <c r="N141" i="28"/>
  <c r="M65" i="25"/>
  <c r="N20" i="26"/>
  <c r="K92" i="17"/>
  <c r="L137" i="2"/>
  <c r="L161" i="26"/>
  <c r="K176" i="33"/>
  <c r="M146" i="28"/>
  <c r="O95" i="27"/>
  <c r="M148" i="33"/>
  <c r="K53" i="9"/>
  <c r="O20" i="26"/>
  <c r="N25" i="10"/>
  <c r="O63" i="20"/>
  <c r="N77" i="33"/>
  <c r="K38" i="4"/>
  <c r="L5" i="9"/>
  <c r="K23" i="2"/>
  <c r="O146" i="27"/>
  <c r="K118" i="22"/>
  <c r="N66" i="20"/>
  <c r="N167" i="1"/>
  <c r="M183" i="28"/>
  <c r="K168" i="26"/>
  <c r="K157" i="32"/>
  <c r="L140" i="12"/>
  <c r="O111" i="4"/>
  <c r="N134" i="11"/>
  <c r="O3" i="33"/>
  <c r="M49" i="9"/>
  <c r="K8" i="20"/>
  <c r="M54" i="3"/>
  <c r="N89" i="20"/>
  <c r="L178" i="2"/>
  <c r="O176" i="21"/>
  <c r="M29" i="33"/>
  <c r="K25" i="1"/>
  <c r="L92" i="3"/>
  <c r="N50" i="12"/>
  <c r="M125" i="26"/>
  <c r="M29" i="2"/>
  <c r="K168" i="3"/>
  <c r="L29" i="5"/>
  <c r="O133" i="25"/>
  <c r="N24" i="20"/>
  <c r="L51" i="25"/>
  <c r="K84" i="16"/>
  <c r="K108" i="28"/>
  <c r="K42" i="25"/>
  <c r="N69" i="20"/>
  <c r="K26" i="30"/>
  <c r="N19" i="33"/>
  <c r="L38" i="21"/>
  <c r="O142" i="5"/>
  <c r="N119" i="29"/>
  <c r="N170" i="22"/>
  <c r="K67" i="11"/>
  <c r="L28" i="21"/>
  <c r="O114" i="6"/>
  <c r="M28" i="20"/>
  <c r="L111" i="12"/>
  <c r="K15" i="16"/>
  <c r="N84" i="1"/>
  <c r="K51"/>
  <c r="M165" i="11"/>
  <c r="L72" i="30"/>
  <c r="N168" i="32"/>
  <c r="L109" i="18"/>
  <c r="K61" i="1"/>
  <c r="M23" i="28"/>
  <c r="N168" i="27"/>
  <c r="K73" i="25"/>
  <c r="M146" i="30"/>
  <c r="M109" i="5"/>
  <c r="N89" i="29"/>
  <c r="M157" i="28"/>
  <c r="L44" i="24"/>
  <c r="O15" i="3"/>
  <c r="L47" i="30"/>
  <c r="L182" i="31"/>
  <c r="N155"/>
  <c r="N69" i="12"/>
  <c r="L9" i="21"/>
  <c r="M11" i="24"/>
  <c r="L162" i="20"/>
  <c r="K72" i="18"/>
  <c r="N42" i="16"/>
  <c r="N107" i="26"/>
  <c r="L114" i="21"/>
  <c r="O84" i="9"/>
  <c r="K117" i="2"/>
  <c r="N143" i="23"/>
  <c r="L66" i="18"/>
  <c r="M149" i="5"/>
  <c r="N168" i="24"/>
  <c r="M165" i="27"/>
  <c r="L35"/>
  <c r="K147" i="28"/>
  <c r="N49" i="21"/>
  <c r="O123" i="22"/>
  <c r="L91" i="3"/>
  <c r="N89" i="2"/>
  <c r="L173" i="30"/>
  <c r="O185" i="18"/>
  <c r="L47" i="25"/>
  <c r="O66" i="17"/>
  <c r="K113" i="19"/>
  <c r="K49" i="18"/>
  <c r="N36" i="16"/>
  <c r="M115" i="17"/>
  <c r="K146" i="31"/>
  <c r="M84" i="10"/>
  <c r="M119" i="18"/>
  <c r="K96" i="12"/>
  <c r="K64" i="24"/>
  <c r="L143" i="1"/>
  <c r="L185" i="28"/>
  <c r="N160" i="12"/>
  <c r="K169" i="24"/>
  <c r="L158" i="9"/>
  <c r="O64" i="20"/>
  <c r="M49"/>
  <c r="L99" i="21"/>
  <c r="K150"/>
  <c r="M114" i="20"/>
  <c r="L172" i="4"/>
  <c r="N108" i="2"/>
  <c r="L34" i="29"/>
  <c r="L61" i="18"/>
  <c r="L6" i="16"/>
  <c r="M63" i="22"/>
  <c r="O144" i="26"/>
  <c r="K185"/>
  <c r="O125" i="21"/>
  <c r="L69" i="33"/>
  <c r="O21" i="11"/>
  <c r="L10" i="17"/>
  <c r="K44" i="11"/>
  <c r="O10" i="25"/>
  <c r="K112" i="29"/>
  <c r="N161" i="26"/>
  <c r="M79" i="21"/>
  <c r="K182" i="23"/>
  <c r="L5" i="6"/>
  <c r="M147" i="25"/>
  <c r="K107" i="2"/>
  <c r="O8" i="21"/>
  <c r="M183" i="29"/>
  <c r="N101" i="26"/>
  <c r="N183" i="25"/>
  <c r="O161" i="28"/>
  <c r="K11"/>
  <c r="L73" i="23"/>
  <c r="O101" i="31"/>
  <c r="L101" i="3"/>
  <c r="K150" i="20"/>
  <c r="N171" i="5"/>
  <c r="K68" i="21"/>
  <c r="K180" i="1"/>
  <c r="M139" i="26"/>
  <c r="K132" i="28"/>
  <c r="L121"/>
  <c r="M145" i="12"/>
  <c r="O85" i="19"/>
  <c r="K161" i="26"/>
  <c r="L133" i="2"/>
  <c r="N36" i="18"/>
  <c r="M172"/>
  <c r="K16" i="2"/>
  <c r="L162" i="21"/>
  <c r="K82" i="28"/>
  <c r="L108"/>
  <c r="K106" i="15"/>
  <c r="K166" i="4"/>
  <c r="N66" i="28"/>
  <c r="M73" i="10"/>
  <c r="M173" i="21"/>
  <c r="M182" i="25"/>
  <c r="O35" i="33"/>
  <c r="M53" i="18"/>
  <c r="N40" i="12"/>
  <c r="L169" i="19"/>
  <c r="M33" i="2"/>
  <c r="O167" i="26"/>
  <c r="K92" i="12"/>
  <c r="M4" i="28"/>
  <c r="M113" i="24"/>
  <c r="L79" i="10"/>
  <c r="N42" i="11"/>
  <c r="O11" i="3"/>
  <c r="N113" i="15"/>
  <c r="L182" i="27"/>
  <c r="M182" i="2"/>
  <c r="O88" i="18"/>
  <c r="O154" i="24"/>
  <c r="L35"/>
  <c r="M107" i="18"/>
  <c r="N116" i="1"/>
  <c r="L102" i="12"/>
  <c r="K59" i="25"/>
  <c r="K118" i="26"/>
  <c r="K183" i="18"/>
  <c r="M77" i="4"/>
  <c r="M8" i="21"/>
  <c r="K26" i="16"/>
  <c r="M95" i="24"/>
  <c r="L123" i="4"/>
  <c r="N158" i="27"/>
  <c r="K28" i="10"/>
  <c r="O119" i="27"/>
  <c r="N26" i="12"/>
  <c r="L69" i="25"/>
  <c r="L75" i="28"/>
  <c r="M162" i="12"/>
  <c r="M81" i="26"/>
  <c r="K100" i="24"/>
  <c r="N167"/>
  <c r="N98" i="12"/>
  <c r="K180" i="31"/>
  <c r="L5" i="4"/>
  <c r="L128" i="6"/>
  <c r="N130" i="27"/>
  <c r="M16" i="9"/>
  <c r="N130" i="6"/>
  <c r="N43" i="18"/>
  <c r="M165" i="3"/>
  <c r="L130" i="28"/>
  <c r="O99" i="25"/>
  <c r="K123" i="3"/>
  <c r="K133"/>
  <c r="M172" i="20"/>
  <c r="O31" i="23"/>
  <c r="N11" i="18"/>
  <c r="M141" i="26"/>
  <c r="L147" i="27"/>
  <c r="K3" i="2"/>
  <c r="M147" i="4"/>
  <c r="L178" i="10"/>
  <c r="N68" i="5"/>
  <c r="N166" i="18"/>
  <c r="N121" i="2"/>
  <c r="M126" i="4"/>
  <c r="O101" i="29"/>
  <c r="M45" i="26"/>
  <c r="L144" i="30"/>
  <c r="K150" i="1"/>
  <c r="N34" i="16"/>
  <c r="K109" i="30"/>
  <c r="L127" i="12"/>
  <c r="N130" i="24"/>
  <c r="N136" i="32"/>
  <c r="L115" i="23"/>
  <c r="O106" i="26"/>
  <c r="M158" i="15"/>
  <c r="L170" i="23"/>
  <c r="K168" i="4"/>
  <c r="K96" i="30"/>
  <c r="N33" i="4"/>
  <c r="N172" i="30"/>
  <c r="O131" i="1"/>
  <c r="L25" i="21"/>
  <c r="M82" i="22"/>
  <c r="M139" i="28"/>
  <c r="K98" i="27"/>
  <c r="M64" i="32"/>
  <c r="L172" i="26"/>
  <c r="O102" i="21"/>
  <c r="N125" i="27"/>
  <c r="K56" i="10"/>
  <c r="O42" i="16"/>
  <c r="M87" i="21"/>
  <c r="M81" i="31"/>
  <c r="M101" i="33"/>
  <c r="K149" i="30"/>
  <c r="K75"/>
  <c r="M65" i="23"/>
  <c r="L37" i="12"/>
  <c r="M111" i="32"/>
  <c r="K145" i="6"/>
  <c r="M135" i="24"/>
  <c r="K160" i="9"/>
  <c r="M180" i="27"/>
  <c r="O58" i="6"/>
  <c r="O13" i="24"/>
  <c r="O45" i="26"/>
  <c r="L84" i="20"/>
  <c r="M59" i="27"/>
  <c r="L79" i="21"/>
  <c r="L127" i="25"/>
  <c r="O135"/>
  <c r="L165" i="12"/>
  <c r="K133" i="27"/>
  <c r="K144" i="32"/>
  <c r="M123" i="16"/>
  <c r="K67" i="24"/>
  <c r="O159" i="31"/>
  <c r="O57" i="24"/>
  <c r="N91" i="29"/>
  <c r="M183" i="25"/>
  <c r="O137" i="29"/>
  <c r="N82" i="24"/>
  <c r="N157" i="2"/>
  <c r="O93" i="23"/>
  <c r="M26" i="15"/>
  <c r="O110" i="3"/>
  <c r="N162" i="31"/>
  <c r="K178" i="16"/>
  <c r="M121" i="25"/>
  <c r="M96" i="27"/>
  <c r="N182" i="3"/>
  <c r="N69" i="16"/>
  <c r="N38" i="28"/>
  <c r="L117" i="25"/>
  <c r="K6" i="22"/>
  <c r="N18" i="12"/>
  <c r="K163" i="21"/>
  <c r="O168" i="5"/>
  <c r="K143" i="24"/>
  <c r="N181" i="26"/>
  <c r="N59" i="10"/>
  <c r="K93" i="19"/>
  <c r="N115" i="24"/>
  <c r="K162" i="33"/>
  <c r="K13" i="21"/>
  <c r="K155" i="19"/>
  <c r="L29" i="27"/>
  <c r="M125" i="29"/>
  <c r="N80" i="16"/>
  <c r="K129" i="2"/>
  <c r="O112" i="18"/>
  <c r="N79" i="11"/>
  <c r="L150" i="33"/>
  <c r="N3" i="32"/>
  <c r="O61" i="27"/>
  <c r="N4" i="24"/>
  <c r="O144" i="20"/>
  <c r="K182" i="29"/>
  <c r="L121" i="16"/>
  <c r="K167" i="27"/>
  <c r="L59" i="5"/>
  <c r="M13" i="28"/>
  <c r="O33" i="29"/>
  <c r="M3"/>
  <c r="K56" i="30"/>
  <c r="L30" i="16"/>
  <c r="N21" i="33"/>
  <c r="N43" i="31"/>
  <c r="K79" i="23"/>
  <c r="O122" i="3"/>
  <c r="K177" i="19"/>
  <c r="K144" i="31"/>
  <c r="M46" i="1"/>
  <c r="L129" i="5"/>
  <c r="L82" i="19"/>
  <c r="M57" i="17"/>
  <c r="O142" i="3"/>
  <c r="K75" i="19"/>
  <c r="O77" i="25"/>
  <c r="L45" i="20"/>
  <c r="M57" i="28"/>
  <c r="N144" i="2"/>
  <c r="K168" i="33"/>
  <c r="O120" i="16"/>
  <c r="O136" i="12"/>
  <c r="M125" i="4"/>
  <c r="N111"/>
  <c r="O177" i="20"/>
  <c r="K177" i="4"/>
  <c r="N107" i="29"/>
  <c r="N37" i="24"/>
  <c r="M39" i="25"/>
  <c r="O120" i="2"/>
  <c r="L53" i="1"/>
  <c r="M182" i="20"/>
  <c r="K52" i="23"/>
  <c r="L115" i="22"/>
  <c r="M92" i="26"/>
  <c r="M163" i="28"/>
  <c r="L121" i="21"/>
  <c r="K136" i="11"/>
  <c r="O117" i="9"/>
  <c r="N81" i="4"/>
  <c r="K86" i="24"/>
  <c r="N148" i="18"/>
  <c r="K125"/>
  <c r="N85" i="1"/>
  <c r="L121" i="18"/>
  <c r="O94" i="10"/>
  <c r="L9" i="12"/>
  <c r="M170" i="11"/>
  <c r="M61" i="23"/>
  <c r="N115" i="21"/>
  <c r="M38" i="6"/>
  <c r="L118" i="10"/>
  <c r="N36" i="1"/>
  <c r="K87" i="19"/>
  <c r="K168" i="21"/>
  <c r="N73" i="23"/>
  <c r="L57" i="11"/>
  <c r="N87" i="28"/>
  <c r="M162" i="25"/>
  <c r="O133" i="27"/>
  <c r="M171" i="24"/>
  <c r="L21" i="31"/>
  <c r="N144" i="11"/>
  <c r="N3" i="2"/>
  <c r="L137" i="18"/>
  <c r="L176" i="9"/>
  <c r="L115" i="17"/>
  <c r="K35" i="15"/>
  <c r="L176" i="17"/>
  <c r="N152" i="25"/>
  <c r="L65" i="33"/>
  <c r="L166" i="26"/>
  <c r="N111" i="16"/>
  <c r="K117" i="18"/>
  <c r="N172" i="9"/>
  <c r="M6" i="25"/>
  <c r="M173" i="11"/>
  <c r="O59" i="12"/>
  <c r="N35" i="22"/>
  <c r="N57" i="18"/>
  <c r="O149" i="12"/>
  <c r="K111" i="16"/>
  <c r="K68"/>
  <c r="K45" i="12"/>
  <c r="K171" i="28"/>
  <c r="M61" i="1"/>
  <c r="M147" i="10"/>
  <c r="O170" i="2"/>
  <c r="L26" i="32"/>
  <c r="O9" i="16"/>
  <c r="O79" i="24"/>
  <c r="N152" i="31"/>
  <c r="L148" i="25"/>
  <c r="M57" i="20"/>
  <c r="M14" i="2"/>
  <c r="O69" i="9"/>
  <c r="N154" i="10"/>
  <c r="L99" i="26"/>
  <c r="O183" i="21"/>
  <c r="M26" i="29"/>
  <c r="K184" i="24"/>
  <c r="L29" i="25"/>
  <c r="N171"/>
  <c r="K10" i="9"/>
  <c r="M40" i="2"/>
  <c r="O85" i="24"/>
  <c r="L122" i="18"/>
  <c r="L153" i="2"/>
  <c r="O21" i="1"/>
  <c r="M128" i="17"/>
  <c r="K94" i="32"/>
  <c r="L54" i="30"/>
  <c r="M80" i="2"/>
  <c r="N172" i="27"/>
  <c r="N8" i="6"/>
  <c r="K171"/>
  <c r="N159" i="3"/>
  <c r="M144" i="24"/>
  <c r="K130" i="12"/>
  <c r="M76"/>
  <c r="L146" i="22"/>
  <c r="K28" i="30"/>
  <c r="M120" i="31"/>
  <c r="K172" i="26"/>
  <c r="O59" i="25"/>
  <c r="N149" i="21"/>
  <c r="K158" i="25"/>
  <c r="O16" i="26"/>
  <c r="L91" i="17"/>
  <c r="M113" i="19"/>
  <c r="N68" i="15"/>
  <c r="O125" i="6"/>
  <c r="O57" i="15"/>
  <c r="M160" i="22"/>
  <c r="M39" i="18"/>
  <c r="L128" i="25"/>
  <c r="M18" i="33"/>
  <c r="N65" i="15"/>
  <c r="L45" i="5"/>
  <c r="K125" i="4"/>
  <c r="O139" i="22"/>
  <c r="L19" i="21"/>
  <c r="O150" i="2"/>
  <c r="L96" i="12"/>
  <c r="L154" i="26"/>
  <c r="M169" i="4"/>
  <c r="K10" i="26"/>
  <c r="L54" i="22"/>
  <c r="N159" i="19"/>
  <c r="K110" i="12"/>
  <c r="N72" i="10"/>
  <c r="O135" i="2"/>
  <c r="K19" i="20"/>
  <c r="O99" i="2"/>
  <c r="K42"/>
  <c r="L13" i="29"/>
  <c r="L74" i="22"/>
  <c r="N85" i="28"/>
  <c r="O169" i="6"/>
  <c r="L162" i="27"/>
  <c r="K35" i="19"/>
  <c r="K37" i="4"/>
  <c r="K109" i="24"/>
  <c r="N3" i="27"/>
  <c r="N51" i="2"/>
  <c r="M135" i="21"/>
  <c r="M79" i="9"/>
  <c r="K140" i="28"/>
  <c r="L163" i="1"/>
  <c r="N159" i="26"/>
  <c r="L92" i="12"/>
  <c r="L149" i="30"/>
  <c r="N87" i="23"/>
  <c r="L106" i="24"/>
  <c r="L86" i="2"/>
  <c r="L67" i="26"/>
  <c r="O120" i="25"/>
  <c r="L87" i="18"/>
  <c r="O121" i="3"/>
  <c r="N121" i="32"/>
  <c r="O92" i="2"/>
  <c r="O143" i="23"/>
  <c r="K91" i="6"/>
  <c r="O165" i="28"/>
  <c r="O184" i="21"/>
  <c r="O18" i="28"/>
  <c r="O63" i="4"/>
  <c r="K139" i="22"/>
  <c r="M128" i="4"/>
  <c r="K161" i="19"/>
  <c r="O133" i="29"/>
  <c r="O99" i="15"/>
  <c r="M106" i="12"/>
  <c r="O77" i="30"/>
  <c r="O44" i="19"/>
  <c r="M51"/>
  <c r="O94"/>
  <c r="L128"/>
  <c r="M123" i="26"/>
  <c r="O46" i="27"/>
  <c r="K66" i="15"/>
  <c r="K68" i="27"/>
  <c r="N33" i="1"/>
  <c r="K152" i="30"/>
  <c r="M92" i="6"/>
  <c r="L37" i="32"/>
  <c r="L10" i="28"/>
  <c r="L82" i="2"/>
  <c r="N100" i="15"/>
  <c r="K42" i="12"/>
  <c r="O78" i="26"/>
  <c r="N128" i="15"/>
  <c r="K116" i="31"/>
  <c r="O142" i="33"/>
  <c r="K77" i="2"/>
  <c r="N127" i="18"/>
  <c r="M102" i="30"/>
  <c r="N161" i="27"/>
  <c r="K40" i="22"/>
  <c r="K112" i="20"/>
  <c r="M143" i="16"/>
  <c r="M180" i="28"/>
  <c r="K149" i="15"/>
  <c r="M40" i="6"/>
  <c r="K170" i="2"/>
  <c r="O9" i="20"/>
  <c r="K5" i="11"/>
  <c r="L165" i="17"/>
  <c r="K64" i="2"/>
  <c r="O89" i="10"/>
  <c r="N132" i="11"/>
  <c r="L40" i="31"/>
  <c r="O67" i="19"/>
  <c r="M144" i="17"/>
  <c r="L184" i="3"/>
  <c r="O19" i="31"/>
  <c r="L38" i="18"/>
  <c r="O10" i="1"/>
  <c r="L87" i="26"/>
  <c r="N130"/>
  <c r="M37" i="17"/>
  <c r="K39" i="25"/>
  <c r="N176" i="6"/>
  <c r="K38" i="1"/>
  <c r="N43" i="24"/>
  <c r="N168" i="15"/>
  <c r="K136" i="32"/>
  <c r="M9" i="1"/>
  <c r="M67" i="9"/>
  <c r="N61" i="19"/>
  <c r="M177" i="20"/>
  <c r="N23" i="3"/>
  <c r="K143" i="1"/>
  <c r="M25" i="3"/>
  <c r="K39" i="22"/>
  <c r="O57" i="18"/>
  <c r="L42"/>
  <c r="O76" i="4"/>
  <c r="K143" i="31"/>
  <c r="M24" i="9"/>
  <c r="N69" i="29"/>
  <c r="N136" i="27"/>
  <c r="M137" i="28"/>
  <c r="N35" i="27"/>
  <c r="K159" i="21"/>
  <c r="L20" i="32"/>
  <c r="N13" i="24"/>
  <c r="L54" i="21"/>
  <c r="O145" i="12"/>
  <c r="N119" i="33"/>
  <c r="O43" i="24"/>
  <c r="K36" i="26"/>
  <c r="K66" i="4"/>
  <c r="M107" i="12"/>
  <c r="M145" i="26"/>
  <c r="M31" i="10"/>
  <c r="N54" i="11"/>
  <c r="L143" i="18"/>
  <c r="K11" i="1"/>
  <c r="K57"/>
  <c r="O135" i="10"/>
  <c r="L129" i="19"/>
  <c r="K148" i="17"/>
  <c r="N11" i="33"/>
  <c r="O127" i="1"/>
  <c r="O74" i="33"/>
  <c r="L43" i="18"/>
  <c r="K147" i="21"/>
  <c r="L100" i="11"/>
  <c r="K5" i="18"/>
  <c r="K51"/>
  <c r="L31" i="20"/>
  <c r="N160" i="22"/>
  <c r="K98" i="4"/>
  <c r="L42" i="20"/>
  <c r="O119" i="25"/>
  <c r="K54" i="4"/>
  <c r="M143" i="30"/>
  <c r="K35" i="17"/>
  <c r="O179" i="22"/>
  <c r="O16" i="33"/>
  <c r="L53" i="4"/>
  <c r="M29" i="24"/>
  <c r="K122"/>
  <c r="N35" i="28"/>
  <c r="M155" i="29"/>
  <c r="M92" i="11"/>
  <c r="L113" i="2"/>
  <c r="M169" i="21"/>
  <c r="K93" i="26"/>
  <c r="L154" i="1"/>
  <c r="O72" i="16"/>
  <c r="N112" i="28"/>
  <c r="O63" i="29"/>
  <c r="O84" i="33"/>
  <c r="M35" i="29"/>
  <c r="L94" i="17"/>
  <c r="L166" i="19"/>
  <c r="O54" i="11"/>
  <c r="L184" i="10"/>
  <c r="M136" i="19"/>
  <c r="L173" i="23"/>
  <c r="L82" i="31"/>
  <c r="L140" i="18"/>
  <c r="K126"/>
  <c r="N173" i="26"/>
  <c r="N5" i="33"/>
  <c r="K30" i="23"/>
  <c r="M89" i="26"/>
  <c r="L168" i="5"/>
  <c r="M118" i="29"/>
  <c r="N8" i="11"/>
  <c r="L23"/>
  <c r="L50" i="18"/>
  <c r="M184" i="21"/>
  <c r="O177" i="24"/>
  <c r="L113"/>
  <c r="O169" i="5"/>
  <c r="L161" i="18"/>
  <c r="K88" i="28"/>
  <c r="O163" i="11"/>
  <c r="L82"/>
  <c r="M150" i="12"/>
  <c r="L89" i="19"/>
  <c r="O39" i="4"/>
  <c r="L65" i="15"/>
  <c r="M76" i="9"/>
  <c r="O181" i="2"/>
  <c r="N167" i="21"/>
  <c r="L35" i="4"/>
  <c r="N100" i="30"/>
  <c r="O115" i="12"/>
  <c r="L101" i="2"/>
  <c r="M31" i="4"/>
  <c r="L129" i="12"/>
  <c r="M118" i="19"/>
  <c r="M176" i="21"/>
  <c r="K87" i="24"/>
  <c r="O120" i="26"/>
  <c r="L33"/>
  <c r="N97" i="24"/>
  <c r="O86" i="21"/>
  <c r="M28" i="12"/>
  <c r="N81"/>
  <c r="L96" i="19"/>
  <c r="M53" i="6"/>
  <c r="L107" i="12"/>
  <c r="L74" i="21"/>
  <c r="M143" i="2"/>
  <c r="N128" i="18"/>
  <c r="N151" i="29"/>
  <c r="N80" i="26"/>
  <c r="M135" i="22"/>
  <c r="M54" i="27"/>
  <c r="M113" i="2"/>
  <c r="N65" i="10"/>
  <c r="N66" i="22"/>
  <c r="M116" i="27"/>
  <c r="O58" i="26"/>
  <c r="O153" i="1"/>
  <c r="N150" i="20"/>
  <c r="O160" i="29"/>
  <c r="O163" i="33"/>
  <c r="O131" i="29"/>
  <c r="O180" i="27"/>
  <c r="K132" i="29"/>
  <c r="K118" i="12"/>
  <c r="L50" i="2"/>
  <c r="L65" i="26"/>
  <c r="O11" i="2"/>
  <c r="M54" i="15"/>
  <c r="L110" i="24"/>
  <c r="L184" i="21"/>
  <c r="M13" i="2"/>
  <c r="O152" i="20"/>
  <c r="N136" i="12"/>
  <c r="L128"/>
  <c r="O181" i="16"/>
  <c r="M170" i="18"/>
  <c r="O64" i="31"/>
  <c r="N143" i="11"/>
  <c r="L152" i="17"/>
  <c r="O154" i="20"/>
  <c r="N28" i="18"/>
  <c r="L130" i="17"/>
  <c r="N139" i="24"/>
  <c r="O43" i="3"/>
  <c r="N47" i="2"/>
  <c r="K133" i="18"/>
  <c r="N152" i="28"/>
  <c r="K23"/>
  <c r="L8" i="4"/>
  <c r="M96" i="20"/>
  <c r="K165" i="21"/>
  <c r="O84" i="16"/>
  <c r="M51" i="26"/>
  <c r="L179" i="18"/>
  <c r="N63" i="26"/>
  <c r="K56" i="4"/>
  <c r="O50" i="3"/>
  <c r="L150" i="2"/>
  <c r="L147" i="24"/>
  <c r="M115" i="21"/>
  <c r="O9" i="30"/>
  <c r="K11" i="11"/>
  <c r="K21" i="12"/>
  <c r="L15" i="27"/>
  <c r="N137" i="19"/>
  <c r="O168" i="27"/>
  <c r="N109" i="24"/>
  <c r="N13" i="2"/>
  <c r="N53" i="27"/>
  <c r="N95" i="25"/>
  <c r="L179" i="33"/>
  <c r="M106" i="26"/>
  <c r="O100" i="20"/>
  <c r="O94" i="18"/>
  <c r="O11" i="16"/>
  <c r="M178" i="12"/>
  <c r="M52" i="16"/>
  <c r="M49" i="33"/>
  <c r="M110" i="27"/>
  <c r="N74" i="2"/>
  <c r="K108" i="30"/>
  <c r="K57" i="21"/>
  <c r="L36" i="9"/>
  <c r="N51" i="32"/>
  <c r="O47" i="21"/>
  <c r="N123" i="16"/>
  <c r="L132" i="15"/>
  <c r="L110" i="4"/>
  <c r="N100" i="24"/>
  <c r="N11" i="15"/>
  <c r="N51" i="18"/>
  <c r="O28" i="2"/>
  <c r="O4"/>
  <c r="L36" i="11"/>
  <c r="K99" i="23"/>
  <c r="L174" i="31"/>
  <c r="K79" i="11"/>
  <c r="L67" i="3"/>
  <c r="M142" i="4"/>
  <c r="O167" i="10"/>
  <c r="K136" i="24"/>
  <c r="M182" i="29"/>
  <c r="L116" i="11"/>
  <c r="L99" i="22"/>
  <c r="M140" i="26"/>
  <c r="M3" i="20"/>
  <c r="O86" i="2"/>
  <c r="O140" i="12"/>
  <c r="K168" i="18"/>
  <c r="N33" i="19"/>
  <c r="L60" i="21"/>
  <c r="N113" i="4"/>
  <c r="L6" i="9"/>
  <c r="K171" i="23"/>
  <c r="N60" i="2"/>
  <c r="N29" i="21"/>
  <c r="M67" i="5"/>
  <c r="M67" i="27"/>
  <c r="N160" i="21"/>
  <c r="N133" i="22"/>
  <c r="O25" i="33"/>
  <c r="L169" i="32"/>
  <c r="N8" i="31"/>
  <c r="K10" i="20"/>
  <c r="K158" i="4"/>
  <c r="K168" i="24"/>
  <c r="L34" i="15"/>
  <c r="O157" i="6"/>
  <c r="O183" i="15"/>
  <c r="N9" i="33"/>
  <c r="L173" i="21"/>
  <c r="N106" i="11"/>
  <c r="N165" i="18"/>
  <c r="O101" i="16"/>
  <c r="O153" i="17"/>
  <c r="O151" i="28"/>
  <c r="O34" i="18"/>
  <c r="N169" i="16"/>
  <c r="N11" i="29"/>
  <c r="M19"/>
  <c r="M85"/>
  <c r="K31" i="4"/>
  <c r="L76" i="19"/>
  <c r="L71" i="20"/>
  <c r="M109" i="3"/>
  <c r="O64" i="28"/>
  <c r="L67" i="20"/>
  <c r="L84" i="16"/>
  <c r="O65" i="4"/>
  <c r="M10" i="26"/>
  <c r="L148" i="4"/>
  <c r="M84" i="20"/>
  <c r="N26" i="19"/>
  <c r="L123" i="17"/>
  <c r="K114" i="15"/>
  <c r="K79"/>
  <c r="K99" i="17"/>
  <c r="L137" i="32"/>
  <c r="M163" i="5"/>
  <c r="L4" i="21"/>
  <c r="K16" i="5"/>
  <c r="N46" i="9"/>
  <c r="N45" i="6"/>
  <c r="L99" i="20"/>
  <c r="K75" i="28"/>
  <c r="N184" i="2"/>
  <c r="L106" i="15"/>
  <c r="L146" i="19"/>
  <c r="O180" i="2"/>
  <c r="K45" i="24"/>
  <c r="N82" i="5"/>
  <c r="K58" i="33"/>
  <c r="K84" i="1"/>
  <c r="L49" i="2"/>
  <c r="L47" i="22"/>
  <c r="O30" i="6"/>
  <c r="M33" i="11"/>
  <c r="L151" i="12"/>
  <c r="L128" i="1"/>
  <c r="O140" i="29"/>
  <c r="O94" i="26"/>
  <c r="N33" i="21"/>
  <c r="O54" i="29"/>
  <c r="O72" i="2"/>
  <c r="L176" i="16"/>
  <c r="M36" i="26"/>
  <c r="O52" i="17"/>
  <c r="N30" i="5"/>
  <c r="O52" i="33"/>
  <c r="M64" i="27"/>
  <c r="L143" i="11"/>
  <c r="N147" i="27"/>
  <c r="K86" i="28"/>
  <c r="K51" i="15"/>
  <c r="L94" i="32"/>
  <c r="N21" i="1"/>
  <c r="L117" i="21"/>
  <c r="K100" i="33"/>
  <c r="L118" i="19"/>
  <c r="M131" i="15"/>
  <c r="M45" i="33"/>
  <c r="N58" i="18"/>
  <c r="K110" i="15"/>
  <c r="K67"/>
  <c r="N64" i="27"/>
  <c r="M81" i="24"/>
  <c r="O98" i="28"/>
  <c r="L45" i="32"/>
  <c r="K40" i="23"/>
  <c r="M173" i="31"/>
  <c r="O81" i="32"/>
  <c r="N167" i="3"/>
  <c r="L24" i="11"/>
  <c r="L82" i="4"/>
  <c r="N100" i="2"/>
  <c r="M82" i="26"/>
  <c r="M3"/>
  <c r="M45" i="21"/>
  <c r="N121" i="26"/>
  <c r="O42" i="12"/>
  <c r="M18" i="10"/>
  <c r="M151" i="25"/>
  <c r="L123" i="5"/>
  <c r="N21" i="20"/>
  <c r="N177" i="25"/>
  <c r="O96" i="26"/>
  <c r="O59" i="4"/>
  <c r="L39" i="28"/>
  <c r="K166" i="18"/>
  <c r="N174" i="26"/>
  <c r="N144" i="16"/>
  <c r="K60" i="18"/>
  <c r="N110" i="29"/>
  <c r="M49" i="3"/>
  <c r="L37" i="28"/>
  <c r="O65" i="6"/>
  <c r="M176" i="12"/>
  <c r="L38" i="25"/>
  <c r="N33" i="28"/>
  <c r="K71" i="6"/>
  <c r="M63" i="26"/>
  <c r="O100" i="29"/>
  <c r="O33" i="22"/>
  <c r="O136" i="29"/>
  <c r="O141" i="26"/>
  <c r="M63" i="20"/>
  <c r="L30" i="21"/>
  <c r="K183" i="31"/>
  <c r="O72" i="33"/>
  <c r="M160" i="24"/>
  <c r="O122" i="17"/>
  <c r="L123" i="21"/>
  <c r="L43" i="15"/>
  <c r="M64" i="9"/>
  <c r="N72" i="29"/>
  <c r="N184"/>
  <c r="L79" i="2"/>
  <c r="M3" i="27"/>
  <c r="O75" i="25"/>
  <c r="L113" i="11"/>
  <c r="L53" i="15"/>
  <c r="K146" i="33"/>
  <c r="M167" i="20"/>
  <c r="L40" i="23"/>
  <c r="M128" i="9"/>
  <c r="L154" i="18"/>
  <c r="O161" i="16"/>
  <c r="O30" i="4"/>
  <c r="L91" i="16"/>
  <c r="L91" i="32"/>
  <c r="O117" i="27"/>
  <c r="N153" i="33"/>
  <c r="N117" i="31"/>
  <c r="N147" i="16"/>
  <c r="L114" i="10"/>
  <c r="O78" i="30"/>
  <c r="L183"/>
  <c r="M146" i="2"/>
  <c r="N28" i="31"/>
  <c r="O11" i="5"/>
  <c r="O155" i="4"/>
  <c r="M144"/>
  <c r="N178" i="26"/>
  <c r="K177" i="12"/>
  <c r="N173" i="15"/>
  <c r="N53" i="25"/>
  <c r="L53" i="17"/>
  <c r="N11" i="26"/>
  <c r="L4" i="16"/>
  <c r="K96" i="32"/>
  <c r="M20" i="16"/>
  <c r="O118"/>
  <c r="L35" i="15"/>
  <c r="M8" i="17"/>
  <c r="M94" i="12"/>
  <c r="K20" i="32"/>
  <c r="O131" i="28"/>
  <c r="M40" i="15"/>
  <c r="M71" i="24"/>
  <c r="L110" i="28"/>
  <c r="O113" i="9"/>
  <c r="O137" i="4"/>
  <c r="L73" i="24"/>
  <c r="K134" i="28"/>
  <c r="N148" i="19"/>
  <c r="O31" i="20"/>
  <c r="M47" i="21"/>
  <c r="M9" i="18"/>
  <c r="O89" i="22"/>
  <c r="K170" i="27"/>
  <c r="L137"/>
  <c r="K150" i="10"/>
  <c r="L95" i="18"/>
  <c r="N113" i="31"/>
  <c r="K116" i="29"/>
  <c r="O82" i="22"/>
  <c r="L81" i="3"/>
  <c r="K142" i="31"/>
  <c r="L54" i="17"/>
  <c r="M93" i="9"/>
  <c r="O29" i="27"/>
  <c r="M60" i="23"/>
  <c r="N173"/>
  <c r="L179" i="1"/>
  <c r="K183" i="11"/>
  <c r="N149" i="16"/>
  <c r="K121" i="29"/>
  <c r="K139" i="1"/>
  <c r="M99" i="31"/>
  <c r="N97" i="9"/>
  <c r="N95" i="17"/>
  <c r="M108"/>
  <c r="K58"/>
  <c r="L108" i="3"/>
  <c r="L153" i="32"/>
  <c r="M154" i="4"/>
  <c r="L15" i="21"/>
  <c r="M101" i="3"/>
  <c r="K86" i="22"/>
  <c r="M178" i="20"/>
  <c r="M52" i="21"/>
  <c r="M25" i="12"/>
  <c r="M161" i="26"/>
  <c r="L40" i="25"/>
  <c r="L58" i="18"/>
  <c r="K45"/>
  <c r="M146"/>
  <c r="M128" i="22"/>
  <c r="N151" i="21"/>
  <c r="O76" i="12"/>
  <c r="O36" i="2"/>
  <c r="M102" i="12"/>
  <c r="N160" i="25"/>
  <c r="L28" i="27"/>
  <c r="L136" i="33"/>
  <c r="K172" i="11"/>
  <c r="M29" i="12"/>
  <c r="M127" i="28"/>
  <c r="O132" i="12"/>
  <c r="O67" i="9"/>
  <c r="N143" i="26"/>
  <c r="N5" i="19"/>
  <c r="O36" i="18"/>
  <c r="K179" i="3"/>
  <c r="K119" i="28"/>
  <c r="M168" i="30"/>
  <c r="K116" i="3"/>
  <c r="K46" i="12"/>
  <c r="N42" i="27"/>
  <c r="N56" i="12"/>
  <c r="L46" i="18"/>
  <c r="N46" i="5"/>
  <c r="M21" i="28"/>
  <c r="K89" i="10"/>
  <c r="L131" i="18"/>
  <c r="L3" i="25"/>
  <c r="O69" i="27"/>
  <c r="N71" i="10"/>
  <c r="K157" i="2"/>
  <c r="L106" i="4"/>
  <c r="N50" i="30"/>
  <c r="L99" i="17"/>
  <c r="K115" i="24"/>
  <c r="M58" i="12"/>
  <c r="M33" i="33"/>
  <c r="O64" i="1"/>
  <c r="K56" i="26"/>
  <c r="N119" i="2"/>
  <c r="K116" i="28"/>
  <c r="N34" i="31"/>
  <c r="O61" i="4"/>
  <c r="M134" i="11"/>
  <c r="K143" i="6"/>
  <c r="N143" i="1"/>
  <c r="O179" i="20"/>
  <c r="N87"/>
  <c r="M137" i="17"/>
  <c r="O101" i="27"/>
  <c r="O129"/>
  <c r="N181" i="9"/>
  <c r="K87" i="20"/>
  <c r="M38" i="17"/>
  <c r="K25" i="27"/>
  <c r="K63" i="30"/>
  <c r="M146" i="15"/>
  <c r="N11" i="17"/>
  <c r="K159"/>
  <c r="M36"/>
  <c r="O144" i="16"/>
  <c r="M29" i="29"/>
  <c r="N85" i="20"/>
  <c r="O60"/>
  <c r="N18" i="29"/>
  <c r="N118" i="5"/>
  <c r="K77" i="31"/>
  <c r="K129" i="24"/>
  <c r="L147" i="12"/>
  <c r="L177"/>
  <c r="O6" i="16"/>
  <c r="N14" i="24"/>
  <c r="L87" i="17"/>
  <c r="O19" i="10"/>
  <c r="K159" i="6"/>
  <c r="O182" i="2"/>
  <c r="M93" i="25"/>
  <c r="L170" i="31"/>
  <c r="O96" i="10"/>
  <c r="K127" i="25"/>
  <c r="K113" i="22"/>
  <c r="N152" i="12"/>
  <c r="O38" i="25"/>
  <c r="K42" i="10"/>
  <c r="N173" i="32"/>
  <c r="M142" i="22"/>
  <c r="K148" i="4"/>
  <c r="N179" i="11"/>
  <c r="L184" i="24"/>
  <c r="N157" i="28"/>
  <c r="L107" i="19"/>
  <c r="N145" i="1"/>
  <c r="O101" i="3"/>
  <c r="M99" i="24"/>
  <c r="O144"/>
  <c r="L162" i="16"/>
  <c r="M170" i="29"/>
  <c r="N135" i="19"/>
  <c r="K131" i="5"/>
  <c r="K101" i="32"/>
  <c r="N92" i="10"/>
  <c r="L23" i="9"/>
  <c r="O94" i="15"/>
  <c r="L67" i="1"/>
  <c r="M130" i="4"/>
  <c r="K34" i="9"/>
  <c r="K130" i="16"/>
  <c r="L179" i="9"/>
  <c r="K30" i="32"/>
  <c r="O37" i="27"/>
  <c r="N94" i="12"/>
  <c r="K134" i="30"/>
  <c r="L174" i="15"/>
  <c r="L183" i="4"/>
  <c r="N54" i="32"/>
  <c r="O176" i="20"/>
  <c r="N44" i="21"/>
  <c r="O151" i="24"/>
  <c r="O101" i="6"/>
  <c r="K52" i="26"/>
  <c r="M21" i="12"/>
  <c r="K157"/>
  <c r="L98" i="4"/>
  <c r="M168" i="21"/>
  <c r="N37" i="16"/>
  <c r="M114" i="25"/>
  <c r="N161" i="4"/>
  <c r="M110" i="12"/>
  <c r="O129" i="3"/>
  <c r="K142" i="2"/>
  <c r="O60" i="24"/>
  <c r="M123" i="6"/>
  <c r="K131" i="28"/>
  <c r="L112"/>
  <c r="L118" i="18"/>
  <c r="L183"/>
  <c r="L66" i="20"/>
  <c r="O72" i="24"/>
  <c r="M142" i="30"/>
  <c r="M152"/>
  <c r="O102" i="25"/>
  <c r="N137" i="12"/>
  <c r="L173" i="11"/>
  <c r="N52" i="9"/>
  <c r="M75" i="11"/>
  <c r="N35" i="4"/>
  <c r="L109" i="15"/>
  <c r="L149" i="21"/>
  <c r="L142"/>
  <c r="M120" i="16"/>
  <c r="K154" i="22"/>
  <c r="O181" i="11"/>
  <c r="O144" i="3"/>
  <c r="O176" i="17"/>
  <c r="N76" i="16"/>
  <c r="M112" i="25"/>
  <c r="O108" i="20"/>
  <c r="N128" i="25"/>
  <c r="M19" i="33"/>
  <c r="N136" i="19"/>
  <c r="K101" i="11"/>
  <c r="L10" i="16"/>
  <c r="L63" i="4"/>
  <c r="K13" i="16"/>
  <c r="O139" i="21"/>
  <c r="N145"/>
  <c r="L130" i="9"/>
  <c r="M160" i="10"/>
  <c r="L114" i="31"/>
  <c r="M176" i="22"/>
  <c r="K165" i="32"/>
  <c r="K141" i="2"/>
  <c r="N185" i="31"/>
  <c r="K128" i="25"/>
  <c r="L115" i="16"/>
  <c r="O126" i="27"/>
  <c r="O125" i="3"/>
  <c r="O65" i="17"/>
  <c r="K163" i="23"/>
  <c r="K31" i="25"/>
  <c r="M63" i="1"/>
  <c r="O73" i="25"/>
  <c r="M121" i="30"/>
  <c r="L106" i="19"/>
  <c r="L177" i="30"/>
  <c r="M183" i="27"/>
  <c r="K60" i="15"/>
  <c r="N80" i="20"/>
  <c r="N87" i="12"/>
  <c r="O132" i="33"/>
  <c r="K86" i="4"/>
  <c r="O50" i="24"/>
  <c r="L36" i="3"/>
  <c r="N20" i="1"/>
  <c r="O25" i="9"/>
  <c r="O49" i="26"/>
  <c r="K181" i="19"/>
  <c r="M127" i="32"/>
  <c r="N167" i="4"/>
  <c r="M145" i="6"/>
  <c r="M152" i="27"/>
  <c r="O162" i="31"/>
  <c r="L180" i="27"/>
  <c r="L38" i="11"/>
  <c r="M87"/>
  <c r="K60" i="20"/>
  <c r="N106" i="29"/>
  <c r="N116" i="33"/>
  <c r="M109" i="18"/>
  <c r="K170" i="12"/>
  <c r="L77" i="2"/>
  <c r="K29" i="10"/>
  <c r="L133" i="29"/>
  <c r="L30" i="24"/>
  <c r="N96" i="18"/>
  <c r="L126" i="23"/>
  <c r="L77" i="5"/>
  <c r="O142" i="17"/>
  <c r="O123" i="12"/>
  <c r="O94" i="9"/>
  <c r="L49" i="25"/>
  <c r="M73" i="12"/>
  <c r="O8" i="19"/>
  <c r="O67" i="24"/>
  <c r="K92" i="4"/>
  <c r="L63" i="1"/>
  <c r="O173" i="2"/>
  <c r="M36"/>
  <c r="L52" i="3"/>
  <c r="K10" i="1"/>
  <c r="K116" i="27"/>
  <c r="N5" i="26"/>
  <c r="N43"/>
  <c r="L112" i="10"/>
  <c r="O117" i="25"/>
  <c r="N67" i="28"/>
  <c r="K99" i="10"/>
  <c r="O177" i="33"/>
  <c r="M100" i="11"/>
  <c r="L171" i="28"/>
  <c r="L56" i="20"/>
  <c r="L110" i="27"/>
  <c r="N4" i="29"/>
  <c r="O107" i="32"/>
  <c r="K64" i="22"/>
  <c r="N26" i="26"/>
  <c r="K139" i="6"/>
  <c r="L77" i="15"/>
  <c r="K11" i="22"/>
  <c r="N125" i="21"/>
  <c r="N28" i="20"/>
  <c r="N75" i="27"/>
  <c r="M128" i="20"/>
  <c r="N6" i="21"/>
  <c r="N69" i="9"/>
  <c r="M81" i="12"/>
  <c r="L61" i="10"/>
  <c r="N128" i="26"/>
  <c r="O160" i="25"/>
  <c r="O182" i="11"/>
  <c r="M50" i="2"/>
  <c r="M166" i="20"/>
  <c r="N131" i="15"/>
  <c r="N57" i="24"/>
  <c r="M123" i="10"/>
  <c r="O159"/>
  <c r="L21" i="25"/>
  <c r="O158" i="28"/>
  <c r="N147" i="10"/>
  <c r="O150" i="25"/>
  <c r="N88" i="29"/>
  <c r="L51" i="26"/>
  <c r="L11" i="11"/>
  <c r="M158" i="10"/>
  <c r="N158" i="21"/>
  <c r="O6"/>
  <c r="L14" i="18"/>
  <c r="M108" i="28"/>
  <c r="M71" i="10"/>
  <c r="N47" i="21"/>
  <c r="N128" i="16"/>
  <c r="M150" i="2"/>
  <c r="L78" i="24"/>
  <c r="M125" i="12"/>
  <c r="N117"/>
  <c r="K42" i="21"/>
  <c r="L4" i="2"/>
  <c r="M53" i="25"/>
  <c r="M28" i="26"/>
  <c r="N161" i="29"/>
  <c r="N40" i="18"/>
  <c r="M73" i="20"/>
  <c r="L81" i="24"/>
  <c r="L155" i="11"/>
  <c r="M96" i="29"/>
  <c r="L43" i="12"/>
  <c r="L144" i="25"/>
  <c r="L159" i="12"/>
  <c r="O67" i="15"/>
  <c r="L161" i="24"/>
  <c r="K165" i="15"/>
  <c r="O107" i="28"/>
  <c r="O42" i="18"/>
  <c r="N140" i="24"/>
  <c r="K52" i="29"/>
  <c r="K78" i="24"/>
  <c r="L35" i="2"/>
  <c r="M112" i="23"/>
  <c r="O49" i="11"/>
  <c r="K33" i="21"/>
  <c r="N145" i="24"/>
  <c r="K58" i="4"/>
  <c r="O109" i="28"/>
  <c r="K102" i="33"/>
  <c r="K45" i="28"/>
  <c r="N162" i="16"/>
  <c r="O145" i="26"/>
  <c r="K180" i="33"/>
  <c r="O63" i="12"/>
  <c r="M155" i="21"/>
  <c r="N150" i="26"/>
  <c r="K142" i="16"/>
  <c r="K133" i="24"/>
  <c r="N26" i="4"/>
  <c r="M50" i="17"/>
  <c r="N171" i="10"/>
  <c r="O92" i="24"/>
  <c r="M150" i="20"/>
  <c r="M77" i="1"/>
  <c r="L131" i="12"/>
  <c r="M184" i="29"/>
  <c r="K46" i="18"/>
  <c r="O67"/>
  <c r="K107" i="30"/>
  <c r="O29" i="18"/>
  <c r="O30" i="21"/>
  <c r="O183" i="30"/>
  <c r="M114" i="4"/>
  <c r="L126" i="31"/>
  <c r="M165" i="21"/>
  <c r="L120" i="24"/>
  <c r="N171" i="4"/>
  <c r="K84" i="21"/>
  <c r="M135" i="2"/>
  <c r="L60" i="26"/>
  <c r="M149" i="24"/>
  <c r="M56" i="17"/>
  <c r="O91" i="30"/>
  <c r="K88" i="27"/>
  <c r="K19" i="30"/>
  <c r="N18" i="20"/>
  <c r="N58" i="15"/>
  <c r="K34" i="28"/>
  <c r="O45" i="24"/>
  <c r="O98" i="12"/>
  <c r="K86" i="2"/>
  <c r="O170" i="33"/>
  <c r="M179" i="28"/>
  <c r="M84" i="22"/>
  <c r="N153" i="4"/>
  <c r="L165" i="22"/>
  <c r="K18" i="25"/>
  <c r="O35" i="4"/>
  <c r="L15" i="12"/>
  <c r="M59" i="21"/>
  <c r="K176" i="12"/>
  <c r="K49" i="25"/>
  <c r="N67"/>
  <c r="K183" i="26"/>
  <c r="O102" i="2"/>
  <c r="O144"/>
  <c r="L68" i="30"/>
  <c r="N162" i="15"/>
  <c r="N64" i="2"/>
  <c r="M86" i="19"/>
  <c r="K159" i="11"/>
  <c r="O49" i="24"/>
  <c r="O102" i="6"/>
  <c r="O37" i="18"/>
  <c r="K135" i="27"/>
  <c r="K119" i="29"/>
  <c r="O82" i="20"/>
  <c r="O59"/>
  <c r="O63" i="31"/>
  <c r="M34" i="19"/>
  <c r="N16" i="33"/>
  <c r="L24" i="10"/>
  <c r="M39" i="27"/>
  <c r="N72" i="16"/>
  <c r="M92" i="3"/>
  <c r="M139" i="23"/>
  <c r="M14" i="18"/>
  <c r="N121" i="33"/>
  <c r="K144" i="26"/>
  <c r="O182" i="21"/>
  <c r="N71" i="24"/>
  <c r="K47" i="18"/>
  <c r="O81" i="9"/>
  <c r="N174" i="4"/>
  <c r="O11" i="21"/>
  <c r="M179" i="20"/>
  <c r="L95" i="10"/>
  <c r="M43" i="9"/>
  <c r="K87" i="5"/>
  <c r="M88" i="33"/>
  <c r="N170" i="19"/>
  <c r="O49" i="23"/>
  <c r="N33" i="9"/>
  <c r="N101" i="12"/>
  <c r="L73" i="16"/>
  <c r="N50" i="4"/>
  <c r="L92" i="6"/>
  <c r="M46" i="33"/>
  <c r="M58" i="28"/>
  <c r="K8" i="17"/>
  <c r="O182" i="27"/>
  <c r="N84" i="20"/>
  <c r="O21" i="5"/>
  <c r="M131" i="4"/>
  <c r="M59" i="20"/>
  <c r="K183" i="28"/>
  <c r="M139" i="16"/>
  <c r="O3" i="28"/>
  <c r="M8" i="22"/>
  <c r="O111" i="33"/>
  <c r="O49" i="30"/>
  <c r="M107" i="19"/>
  <c r="M158" i="28"/>
  <c r="K43" i="29"/>
  <c r="N120" i="20"/>
  <c r="O58" i="12"/>
  <c r="L152"/>
  <c r="N50" i="5"/>
  <c r="M170" i="22"/>
  <c r="L151" i="10"/>
  <c r="L161" i="11"/>
  <c r="O146" i="6"/>
  <c r="K15" i="18"/>
  <c r="N64" i="21"/>
  <c r="L114" i="29"/>
  <c r="K157" i="26"/>
  <c r="M126" i="3"/>
  <c r="O179" i="32"/>
  <c r="L77" i="29"/>
  <c r="M24" i="24"/>
  <c r="M18"/>
  <c r="L155" i="27"/>
  <c r="N82" i="15"/>
  <c r="K8" i="2"/>
  <c r="N63" i="19"/>
  <c r="M44" i="10"/>
  <c r="L136" i="15"/>
  <c r="L36" i="25"/>
  <c r="N174" i="20"/>
  <c r="N88" i="5"/>
  <c r="O110" i="24"/>
  <c r="O154" i="23"/>
  <c r="O72" i="9"/>
  <c r="O140" i="3"/>
  <c r="L151" i="24"/>
  <c r="N153" i="25"/>
  <c r="O120" i="21"/>
  <c r="M101" i="27"/>
  <c r="O89" i="3"/>
  <c r="O144" i="11"/>
  <c r="M30" i="5"/>
  <c r="K75" i="23"/>
  <c r="K96" i="11"/>
  <c r="L99" i="29"/>
  <c r="O158" i="17"/>
  <c r="K4" i="9"/>
  <c r="L166" i="1"/>
  <c r="L50" i="10"/>
  <c r="N57" i="16"/>
  <c r="K57" i="26"/>
  <c r="K113" i="18"/>
  <c r="K50" i="23"/>
  <c r="O97"/>
  <c r="M134" i="1"/>
  <c r="K15" i="20"/>
  <c r="K47" i="28"/>
  <c r="L183" i="27"/>
  <c r="L5" i="19"/>
  <c r="N170" i="2"/>
  <c r="K56" i="31"/>
  <c r="O93" i="5"/>
  <c r="O120" i="22"/>
  <c r="L23" i="28"/>
  <c r="K146" i="25"/>
  <c r="N69" i="5"/>
  <c r="L8" i="24"/>
  <c r="N142"/>
  <c r="O116" i="20"/>
  <c r="N185" i="10"/>
  <c r="O180" i="4"/>
  <c r="K44" i="33"/>
  <c r="N140" i="11"/>
  <c r="O115" i="9"/>
  <c r="K107" i="25"/>
  <c r="L123" i="10"/>
  <c r="O43" i="33"/>
  <c r="N184" i="21"/>
  <c r="M182" i="19"/>
  <c r="O114" i="4"/>
  <c r="L116" i="10"/>
  <c r="O123" i="28"/>
  <c r="L26" i="4"/>
  <c r="N136" i="18"/>
  <c r="O185" i="11"/>
  <c r="K168" i="9"/>
  <c r="L59" i="26"/>
  <c r="L134" i="2"/>
  <c r="L134" i="21"/>
  <c r="M113" i="18"/>
  <c r="K64" i="21"/>
  <c r="L31" i="6"/>
  <c r="O184"/>
  <c r="O173" i="1"/>
  <c r="M43" i="21"/>
  <c r="K34" i="32"/>
  <c r="O113" i="12"/>
  <c r="O171" i="26"/>
  <c r="N153" i="15"/>
  <c r="K29" i="30"/>
  <c r="L88" i="21"/>
  <c r="L34" i="16"/>
  <c r="O147" i="29"/>
  <c r="L160" i="31"/>
  <c r="O68" i="18"/>
  <c r="K131" i="4"/>
  <c r="O93" i="18"/>
  <c r="L172" i="23"/>
  <c r="L154" i="31"/>
  <c r="L15" i="29"/>
  <c r="M57" i="30"/>
  <c r="N80" i="3"/>
  <c r="M181" i="10"/>
  <c r="O15" i="24"/>
  <c r="O150" i="10"/>
  <c r="L20" i="6"/>
  <c r="N102" i="27"/>
  <c r="K75" i="25"/>
  <c r="O60" i="30"/>
  <c r="N74" i="16"/>
  <c r="O71" i="25"/>
  <c r="N69" i="26"/>
  <c r="K47" i="4"/>
  <c r="O173" i="16"/>
  <c r="O51" i="26"/>
  <c r="N58" i="16"/>
  <c r="K50" i="27"/>
  <c r="N82" i="2"/>
  <c r="N72" i="18"/>
  <c r="N167" i="10"/>
  <c r="O129" i="24"/>
  <c r="L82" i="12"/>
  <c r="K13" i="25"/>
  <c r="O6" i="27"/>
  <c r="O145" i="32"/>
  <c r="O185" i="9"/>
  <c r="L168"/>
  <c r="K40" i="29"/>
  <c r="K3" i="24"/>
  <c r="L159"/>
  <c r="L45" i="10"/>
  <c r="N134" i="6"/>
  <c r="O11" i="12"/>
  <c r="O166" i="25"/>
  <c r="M56" i="28"/>
  <c r="N52" i="1"/>
  <c r="K144" i="17"/>
  <c r="M89" i="31"/>
  <c r="L174" i="29"/>
  <c r="N35" i="6"/>
  <c r="K180" i="15"/>
  <c r="O150" i="27"/>
  <c r="N44" i="28"/>
  <c r="N67" i="9"/>
  <c r="K59" i="31"/>
  <c r="M139" i="20"/>
  <c r="M51" i="11"/>
  <c r="M75" i="32"/>
  <c r="L155" i="24"/>
  <c r="M155" i="32"/>
  <c r="M183" i="30"/>
  <c r="M169" i="20"/>
  <c r="M137" i="3"/>
  <c r="N34" i="11"/>
  <c r="M64" i="23"/>
  <c r="K21" i="17"/>
  <c r="K180"/>
  <c r="N15" i="25"/>
  <c r="L133" i="5"/>
  <c r="O176" i="30"/>
  <c r="M84" i="16"/>
  <c r="M63" i="31"/>
  <c r="N40" i="6"/>
  <c r="O60" i="31"/>
  <c r="L73" i="9"/>
  <c r="O80" i="2"/>
  <c r="L155" i="19"/>
  <c r="L137" i="16"/>
  <c r="M143" i="23"/>
  <c r="K18" i="30"/>
  <c r="O88" i="1"/>
  <c r="O92" i="30"/>
  <c r="K78" i="21"/>
  <c r="O166" i="18"/>
  <c r="M13" i="19"/>
  <c r="L158" i="26"/>
  <c r="M14" i="16"/>
  <c r="O141" i="10"/>
  <c r="L159" i="2"/>
  <c r="M145" i="32"/>
  <c r="L113" i="4"/>
  <c r="K172" i="21"/>
  <c r="L92" i="28"/>
  <c r="L171" i="31"/>
  <c r="L57" i="16"/>
  <c r="L172"/>
  <c r="K67" i="12"/>
  <c r="N75" i="2"/>
  <c r="K46" i="24"/>
  <c r="N95" i="4"/>
  <c r="K181" i="24"/>
  <c r="O123" i="4"/>
  <c r="K173" i="20"/>
  <c r="O179" i="9"/>
  <c r="N178" i="4"/>
  <c r="O80" i="17"/>
  <c r="O88" i="19"/>
  <c r="N89" i="26"/>
  <c r="K140" i="11"/>
  <c r="N178" i="27"/>
  <c r="N100" i="26"/>
  <c r="N45" i="19"/>
  <c r="K76" i="21"/>
  <c r="M136" i="28"/>
  <c r="K158" i="22"/>
  <c r="O174" i="32"/>
  <c r="K128" i="11"/>
  <c r="O9" i="6"/>
  <c r="K40" i="28"/>
  <c r="O117" i="12"/>
  <c r="O33" i="21"/>
  <c r="K177" i="6"/>
  <c r="L108" i="10"/>
  <c r="L28" i="32"/>
  <c r="K91" i="12"/>
  <c r="L102" i="3"/>
  <c r="L88" i="19"/>
  <c r="M68" i="12"/>
  <c r="K89"/>
  <c r="K100" i="1"/>
  <c r="K30" i="12"/>
  <c r="O158" i="19"/>
  <c r="O13" i="30"/>
  <c r="M110" i="25"/>
  <c r="L99" i="24"/>
  <c r="O64" i="17"/>
  <c r="N46" i="22"/>
  <c r="L60" i="27"/>
  <c r="L76" i="4"/>
  <c r="M91" i="19"/>
  <c r="K16" i="21"/>
  <c r="M166" i="11"/>
  <c r="O61" i="9"/>
  <c r="N111" i="27"/>
  <c r="L11" i="24"/>
  <c r="K109" i="20"/>
  <c r="N96" i="10"/>
  <c r="N166" i="21"/>
  <c r="M112" i="12"/>
  <c r="N129" i="4"/>
  <c r="M26" i="2"/>
  <c r="O4" i="9"/>
  <c r="N178" i="12"/>
  <c r="K35" i="1"/>
  <c r="M77" i="31"/>
  <c r="L141" i="5"/>
  <c r="O114" i="11"/>
  <c r="M161" i="22"/>
  <c r="N162" i="20"/>
  <c r="O128" i="19"/>
  <c r="K160" i="21"/>
  <c r="K119" i="25"/>
  <c r="K134" i="15"/>
  <c r="K54" i="16"/>
  <c r="O133" i="2"/>
  <c r="L45"/>
  <c r="N109" i="21"/>
  <c r="L143" i="15"/>
  <c r="O97" i="26"/>
  <c r="L3" i="5"/>
  <c r="L133" i="16"/>
  <c r="N147" i="31"/>
  <c r="L185" i="2"/>
  <c r="M172" i="11"/>
  <c r="L6" i="17"/>
  <c r="K121" i="10"/>
  <c r="N101" i="27"/>
  <c r="O111" i="25"/>
  <c r="K37" i="23"/>
  <c r="O15" i="29"/>
  <c r="M42" i="12"/>
  <c r="K42" i="22"/>
  <c r="L71" i="5"/>
  <c r="M161" i="29"/>
  <c r="K114" i="3"/>
  <c r="L76" i="33"/>
  <c r="M67" i="25"/>
  <c r="O141" i="30"/>
  <c r="M170" i="33"/>
  <c r="N37" i="6"/>
  <c r="K4" i="31"/>
  <c r="M183" i="32"/>
  <c r="O88" i="11"/>
  <c r="K57" i="2"/>
  <c r="M168" i="5"/>
  <c r="O113" i="22"/>
  <c r="O143" i="27"/>
  <c r="K185" i="31"/>
  <c r="L94" i="19"/>
  <c r="N141" i="20"/>
  <c r="O152" i="30"/>
  <c r="L38" i="29"/>
  <c r="N107" i="30"/>
  <c r="L26" i="17"/>
  <c r="O71" i="33"/>
  <c r="N132" i="9"/>
  <c r="N18" i="3"/>
  <c r="O133" i="9"/>
  <c r="M158" i="2"/>
  <c r="N129" i="3"/>
  <c r="N13" i="16"/>
  <c r="L71" i="26"/>
  <c r="M87"/>
  <c r="N49" i="28"/>
  <c r="M119" i="32"/>
  <c r="L40" i="2"/>
  <c r="O130" i="28"/>
  <c r="L64" i="4"/>
  <c r="M131" i="2"/>
  <c r="K71" i="20"/>
  <c r="N56" i="24"/>
  <c r="K114" i="1"/>
  <c r="O35" i="22"/>
  <c r="L169" i="2"/>
  <c r="M111" i="28"/>
  <c r="M54" i="23"/>
  <c r="O157" i="11"/>
  <c r="N168" i="16"/>
  <c r="N13" i="21"/>
  <c r="L79" i="11"/>
  <c r="N84" i="25"/>
  <c r="O185" i="1"/>
  <c r="K97" i="30"/>
  <c r="K29" i="18"/>
  <c r="O169" i="11"/>
  <c r="M64"/>
  <c r="N50" i="28"/>
  <c r="K63" i="9"/>
  <c r="M125"/>
  <c r="M157" i="19"/>
  <c r="K143" i="18"/>
  <c r="K170" i="4"/>
  <c r="O155" i="9"/>
  <c r="K9" i="3"/>
  <c r="O177" i="19"/>
  <c r="L114" i="12"/>
  <c r="O127" i="29"/>
  <c r="L146" i="25"/>
  <c r="L23" i="15"/>
  <c r="L136" i="30"/>
  <c r="L4" i="31"/>
  <c r="O9" i="1"/>
  <c r="O154" i="28"/>
  <c r="N149"/>
  <c r="L135" i="15"/>
  <c r="O168" i="2"/>
  <c r="N98" i="30"/>
  <c r="M76"/>
  <c r="O80" i="3"/>
  <c r="L93" i="19"/>
  <c r="N26" i="21"/>
  <c r="O88" i="5"/>
  <c r="M158" i="4"/>
  <c r="N151" i="30"/>
  <c r="O10" i="4"/>
  <c r="N109" i="28"/>
  <c r="K80" i="26"/>
  <c r="N79" i="5"/>
  <c r="O99" i="11"/>
  <c r="N72" i="19"/>
  <c r="M183"/>
  <c r="M58" i="2"/>
  <c r="K65" i="21"/>
  <c r="N158" i="16"/>
  <c r="L89" i="32"/>
  <c r="O37" i="20"/>
  <c r="M20" i="28"/>
  <c r="N42" i="17"/>
  <c r="O136" i="28"/>
  <c r="N177" i="29"/>
  <c r="L71" i="1"/>
  <c r="L178" i="28"/>
  <c r="O101" i="20"/>
  <c r="O177" i="25"/>
  <c r="M37" i="6"/>
  <c r="K11" i="31"/>
  <c r="L134" i="18"/>
  <c r="K47" i="27"/>
  <c r="M155" i="18"/>
  <c r="K25" i="2"/>
  <c r="M40" i="22"/>
  <c r="O51"/>
  <c r="M171" i="2"/>
  <c r="O99" i="9"/>
  <c r="N128" i="20"/>
  <c r="K75" i="3"/>
  <c r="N75" i="24"/>
  <c r="K145" i="32"/>
  <c r="L153" i="16"/>
  <c r="O184" i="15"/>
  <c r="L97" i="16"/>
  <c r="N43" i="33"/>
  <c r="O84" i="17"/>
  <c r="K10" i="19"/>
  <c r="O69" i="1"/>
  <c r="M110" i="32"/>
  <c r="M116" i="31"/>
  <c r="O136" i="2"/>
  <c r="O61" i="31"/>
  <c r="O161" i="1"/>
  <c r="N34" i="10"/>
  <c r="M66" i="2"/>
  <c r="L82" i="25"/>
  <c r="M74" i="2"/>
  <c r="N155" i="23"/>
  <c r="O13" i="5"/>
  <c r="O35" i="27"/>
  <c r="L45" i="23"/>
  <c r="O15" i="27"/>
  <c r="K78" i="22"/>
  <c r="O93" i="21"/>
  <c r="O34" i="31"/>
  <c r="N134" i="5"/>
  <c r="O135" i="3"/>
  <c r="L185"/>
  <c r="K176" i="2"/>
  <c r="M136" i="29"/>
  <c r="L45" i="3"/>
  <c r="O56" i="20"/>
  <c r="M53" i="29"/>
  <c r="O159" i="23"/>
  <c r="N157" i="32"/>
  <c r="L5"/>
  <c r="L174" i="16"/>
  <c r="K145" i="10"/>
  <c r="L31" i="12"/>
  <c r="N57" i="4"/>
  <c r="N133" i="26"/>
  <c r="L81" i="9"/>
  <c r="N91" i="2"/>
  <c r="M160" i="20"/>
  <c r="M15" i="22"/>
  <c r="M45" i="24"/>
  <c r="M130" i="18"/>
  <c r="O141" i="21"/>
  <c r="K35" i="9"/>
  <c r="K64" i="18"/>
  <c r="O141" i="12"/>
  <c r="K20" i="18"/>
  <c r="M68" i="5"/>
  <c r="L106" i="32"/>
  <c r="O21" i="25"/>
  <c r="M163" i="19"/>
  <c r="K125" i="29"/>
  <c r="M112" i="28"/>
  <c r="M38" i="21"/>
  <c r="K67" i="4"/>
  <c r="L110" i="21"/>
  <c r="N35" i="17"/>
  <c r="K119" i="12"/>
  <c r="K181" i="28"/>
  <c r="O23" i="10"/>
  <c r="L93" i="24"/>
  <c r="O47" i="16"/>
  <c r="N44" i="26"/>
  <c r="L109" i="21"/>
  <c r="K96" i="26"/>
  <c r="M179" i="10"/>
  <c r="K158" i="21"/>
  <c r="O40" i="11"/>
  <c r="K86" i="12"/>
  <c r="M91" i="21"/>
  <c r="M178"/>
  <c r="M18"/>
  <c r="K72" i="25"/>
  <c r="K129" i="26"/>
  <c r="O39" i="29"/>
  <c r="N31" i="20"/>
  <c r="N119" i="26"/>
  <c r="L140" i="24"/>
  <c r="N51" i="10"/>
  <c r="M184"/>
  <c r="L77" i="16"/>
  <c r="K154" i="12"/>
  <c r="K99" i="28"/>
  <c r="K165" i="11"/>
  <c r="O130" i="4"/>
  <c r="M148" i="30"/>
  <c r="O49" i="6"/>
  <c r="O109" i="4"/>
  <c r="M60" i="30"/>
  <c r="K76" i="18"/>
  <c r="K129" i="12"/>
  <c r="L66" i="24"/>
  <c r="N161" i="33"/>
  <c r="M134" i="10"/>
  <c r="L54" i="11"/>
  <c r="N37" i="33"/>
  <c r="M159" i="11"/>
  <c r="L148" i="2"/>
  <c r="K99" i="25"/>
  <c r="M56" i="12"/>
  <c r="L167" i="24"/>
  <c r="N36" i="5"/>
  <c r="M58" i="24"/>
  <c r="O139" i="25"/>
  <c r="K148" i="11"/>
  <c r="K146" i="28"/>
  <c r="N120" i="12"/>
  <c r="N59" i="18"/>
  <c r="L145" i="1"/>
  <c r="L68" i="4"/>
  <c r="N77" i="15"/>
  <c r="L42" i="11"/>
  <c r="L109" i="10"/>
  <c r="L3" i="15"/>
  <c r="K28" i="18"/>
  <c r="K59" i="12"/>
  <c r="L64" i="18"/>
  <c r="K43" i="30"/>
  <c r="N134"/>
  <c r="L172" i="32"/>
  <c r="L95" i="20"/>
  <c r="M171" i="11"/>
  <c r="N97" i="25"/>
  <c r="N102"/>
  <c r="L121" i="2"/>
  <c r="K77" i="28"/>
  <c r="K170" i="11"/>
  <c r="K93" i="17"/>
  <c r="L81" i="12"/>
  <c r="M112" i="21"/>
  <c r="L24" i="26"/>
  <c r="N146" i="2"/>
  <c r="L161" i="10"/>
  <c r="O21" i="21"/>
  <c r="L149" i="26"/>
  <c r="O155" i="29"/>
  <c r="N142" i="25"/>
  <c r="M99" i="23"/>
  <c r="O80" i="18"/>
  <c r="L133" i="21"/>
  <c r="M115" i="6"/>
  <c r="K50" i="33"/>
  <c r="N131" i="16"/>
  <c r="M11" i="1"/>
  <c r="K142" i="26"/>
  <c r="O66" i="21"/>
  <c r="L129" i="10"/>
  <c r="M5" i="12"/>
  <c r="O57" i="33"/>
  <c r="L25" i="4"/>
  <c r="O26" i="18"/>
  <c r="L69" i="1"/>
  <c r="L64" i="6"/>
  <c r="N59" i="5"/>
  <c r="K123" i="18"/>
  <c r="O173" i="12"/>
  <c r="M8" i="33"/>
  <c r="M157" i="21"/>
  <c r="O161" i="23"/>
  <c r="L65" i="25"/>
  <c r="K80" i="32"/>
  <c r="K81" i="20"/>
  <c r="K129" i="33"/>
  <c r="K46"/>
  <c r="K166" i="25"/>
  <c r="N183" i="21"/>
  <c r="K14"/>
  <c r="O113"/>
  <c r="L93" i="17"/>
  <c r="K15" i="11"/>
  <c r="M135" i="28"/>
  <c r="M101" i="16"/>
  <c r="N6"/>
  <c r="O9" i="24"/>
  <c r="O131" i="23"/>
  <c r="O182" i="26"/>
  <c r="K49" i="21"/>
  <c r="M30" i="1"/>
  <c r="N96" i="12"/>
  <c r="O176" i="10"/>
  <c r="L151" i="30"/>
  <c r="O75" i="18"/>
  <c r="N140" i="19"/>
  <c r="L6" i="5"/>
  <c r="K50" i="4"/>
  <c r="L81" i="15"/>
  <c r="N161" i="11"/>
  <c r="K152" i="26"/>
  <c r="L123" i="24"/>
  <c r="M160" i="28"/>
  <c r="N178" i="21"/>
  <c r="O132" i="15"/>
  <c r="L97" i="28"/>
  <c r="M3" i="10"/>
  <c r="M97" i="11"/>
  <c r="L36" i="29"/>
  <c r="O89" i="6"/>
  <c r="L157" i="29"/>
  <c r="L71" i="6"/>
  <c r="K137" i="30"/>
  <c r="L84" i="11"/>
  <c r="L3" i="2"/>
  <c r="O57" i="21"/>
  <c r="N152"/>
  <c r="L115" i="20"/>
  <c r="O10" i="28"/>
  <c r="N24" i="24"/>
  <c r="K127" i="26"/>
  <c r="M57"/>
  <c r="K121" i="28"/>
  <c r="N183" i="18"/>
  <c r="O80" i="4"/>
  <c r="K80" i="30"/>
  <c r="N118" i="29"/>
  <c r="K91" i="28"/>
  <c r="K182" i="11"/>
  <c r="K143" i="26"/>
  <c r="M33" i="29"/>
  <c r="L80" i="2"/>
  <c r="O114" i="20"/>
  <c r="L119" i="21"/>
  <c r="N184" i="18"/>
  <c r="N21" i="24"/>
  <c r="K50" i="9"/>
  <c r="L126" i="25"/>
  <c r="O47" i="19"/>
  <c r="K4" i="26"/>
  <c r="L169" i="17"/>
  <c r="L161" i="21"/>
  <c r="N38" i="16"/>
  <c r="M36" i="11"/>
  <c r="O43"/>
  <c r="M44" i="29"/>
  <c r="O118" i="27"/>
  <c r="O86" i="29"/>
  <c r="O94" i="2"/>
  <c r="N3" i="29"/>
  <c r="K64" i="25"/>
  <c r="M52" i="9"/>
  <c r="L39" i="17"/>
  <c r="O60" i="12"/>
  <c r="O74" i="4"/>
  <c r="O45" i="20"/>
  <c r="O54" i="26"/>
  <c r="N81" i="32"/>
  <c r="N54" i="15"/>
  <c r="N5" i="18"/>
  <c r="K91" i="21"/>
  <c r="O117" i="29"/>
  <c r="N159" i="1"/>
  <c r="M82" i="29"/>
  <c r="M119" i="26"/>
  <c r="N51" i="16"/>
  <c r="K171" i="19"/>
  <c r="O100" i="28"/>
  <c r="K25" i="15"/>
  <c r="O89" i="19"/>
  <c r="M71" i="16"/>
  <c r="M38" i="30"/>
  <c r="O69" i="22"/>
  <c r="O95" i="10"/>
  <c r="M126" i="20"/>
  <c r="M78" i="10"/>
  <c r="M101" i="24"/>
  <c r="L168" i="21"/>
  <c r="N126" i="32"/>
  <c r="L20" i="4"/>
  <c r="M43" i="18"/>
  <c r="K72" i="3"/>
  <c r="L130" i="16"/>
  <c r="K72" i="23"/>
  <c r="K183"/>
  <c r="K88" i="9"/>
  <c r="L167" i="17"/>
  <c r="K82" i="33"/>
  <c r="O149" i="24"/>
  <c r="L145" i="12"/>
  <c r="L26" i="20"/>
  <c r="N182" i="11"/>
  <c r="L134" i="20"/>
  <c r="N64" i="4"/>
  <c r="L80" i="24"/>
  <c r="N88" i="18"/>
  <c r="K91" i="2"/>
  <c r="M3" i="28"/>
  <c r="K23" i="24"/>
  <c r="N86" i="33"/>
  <c r="M56" i="24"/>
  <c r="M57" i="16"/>
  <c r="L26"/>
  <c r="N168" i="4"/>
  <c r="K10" i="21"/>
  <c r="M117" i="33"/>
  <c r="N66" i="26"/>
  <c r="O53" i="18"/>
  <c r="N16" i="29"/>
  <c r="O93" i="22"/>
  <c r="L169" i="26"/>
  <c r="L145" i="21"/>
  <c r="N102" i="24"/>
  <c r="N173" i="25"/>
  <c r="M63" i="21"/>
  <c r="M8" i="12"/>
  <c r="M28" i="24"/>
  <c r="N115" i="10"/>
  <c r="N36" i="33"/>
  <c r="N168" i="30"/>
  <c r="M8" i="4"/>
  <c r="K157" i="17"/>
  <c r="K89" i="4"/>
  <c r="M86" i="28"/>
  <c r="K63" i="4"/>
  <c r="K94" i="33"/>
  <c r="L67" i="16"/>
  <c r="M142" i="3"/>
  <c r="O68" i="24"/>
  <c r="N111" i="30"/>
  <c r="M126" i="32"/>
  <c r="M21" i="18"/>
  <c r="O65" i="33"/>
  <c r="L79" i="32"/>
  <c r="M85" i="31"/>
  <c r="M96" i="4"/>
  <c r="N10" i="24"/>
  <c r="M74" i="3"/>
  <c r="M58"/>
  <c r="K168" i="2"/>
  <c r="O45" i="11"/>
  <c r="O127" i="24"/>
  <c r="L98" i="15"/>
  <c r="M148" i="10"/>
  <c r="K91" i="4"/>
  <c r="N111" i="12"/>
  <c r="N173" i="29"/>
  <c r="M49" i="15"/>
  <c r="O178" i="24"/>
  <c r="M98" i="17"/>
  <c r="O147" i="4"/>
  <c r="K98" i="15"/>
  <c r="K8"/>
  <c r="M33" i="26"/>
  <c r="L126" i="17"/>
  <c r="K174" i="16"/>
  <c r="L88" i="10"/>
  <c r="O79" i="11"/>
  <c r="N96" i="20"/>
  <c r="L19" i="15"/>
  <c r="L148" i="27"/>
  <c r="K24" i="24"/>
  <c r="N133" i="1"/>
  <c r="O50" i="17"/>
  <c r="L148" i="22"/>
  <c r="M71" i="19"/>
  <c r="K170" i="5"/>
  <c r="K88" i="20"/>
  <c r="L93"/>
  <c r="N86" i="21"/>
  <c r="M153" i="2"/>
  <c r="L20" i="30"/>
  <c r="N25" i="4"/>
  <c r="K15" i="26"/>
  <c r="L94" i="29"/>
  <c r="K91" i="9"/>
  <c r="N60" i="23"/>
  <c r="L108" i="32"/>
  <c r="K4" i="29"/>
  <c r="N169" i="17"/>
  <c r="N89" i="11"/>
  <c r="N173" i="18"/>
  <c r="K161" i="1"/>
  <c r="O84" i="28"/>
  <c r="O34" i="10"/>
  <c r="N59" i="30"/>
  <c r="L65" i="24"/>
  <c r="K3" i="16"/>
  <c r="N111" i="22"/>
  <c r="O141" i="25"/>
  <c r="K107" i="19"/>
  <c r="M160" i="21"/>
  <c r="L145" i="26"/>
  <c r="K100" i="2"/>
  <c r="N141" i="3"/>
  <c r="K163" i="19"/>
  <c r="K92" i="3"/>
  <c r="N168" i="11"/>
  <c r="L28" i="23"/>
  <c r="K118" i="6"/>
  <c r="O64" i="22"/>
  <c r="N147" i="26"/>
  <c r="K100" i="15"/>
  <c r="M50" i="21"/>
  <c r="K77" i="19"/>
  <c r="K163" i="22"/>
  <c r="N35" i="1"/>
  <c r="K75" i="12"/>
  <c r="M102" i="33"/>
  <c r="K125" i="12"/>
  <c r="K44" i="18"/>
  <c r="L144" i="23"/>
  <c r="K80" i="27"/>
  <c r="L133" i="1"/>
  <c r="M159" i="26"/>
  <c r="N34" i="29"/>
  <c r="N97" i="10"/>
  <c r="M50" i="12"/>
  <c r="L160" i="20"/>
  <c r="L20" i="12"/>
  <c r="M176" i="2"/>
  <c r="L130" i="23"/>
  <c r="M142" i="2"/>
  <c r="M106" i="28"/>
  <c r="N142" i="18"/>
  <c r="K75" i="26"/>
  <c r="N174" i="29"/>
  <c r="N84" i="12"/>
  <c r="L171" i="24"/>
  <c r="N44" i="9"/>
  <c r="M166" i="21"/>
  <c r="L101" i="24"/>
  <c r="N91" i="32"/>
  <c r="L147" i="18"/>
  <c r="O163" i="9"/>
  <c r="N66" i="5"/>
  <c r="L180" i="28"/>
  <c r="K30" i="17"/>
  <c r="N81" i="27"/>
  <c r="L157" i="4"/>
  <c r="K146" i="15"/>
  <c r="K93" i="30"/>
  <c r="M63" i="16"/>
  <c r="N154" i="9"/>
  <c r="M120" i="29"/>
  <c r="K121" i="11"/>
  <c r="M59" i="5"/>
  <c r="M60" i="15"/>
  <c r="O45" i="18"/>
  <c r="N30" i="6"/>
  <c r="M180" i="4"/>
  <c r="K121" i="12"/>
  <c r="M102" i="24"/>
  <c r="M135" i="27"/>
  <c r="O78" i="10"/>
  <c r="K111" i="2"/>
  <c r="K119" i="26"/>
  <c r="N49" i="9"/>
  <c r="O157" i="17"/>
  <c r="N73" i="12"/>
  <c r="O66" i="33"/>
  <c r="L132" i="11"/>
  <c r="L183" i="9"/>
  <c r="K68" i="20"/>
  <c r="K56" i="23"/>
  <c r="M76" i="4"/>
  <c r="K146" i="16"/>
  <c r="K157" i="9"/>
  <c r="M63" i="33"/>
  <c r="N20" i="9"/>
  <c r="L81" i="29"/>
  <c r="M171" i="20"/>
  <c r="K119" i="19"/>
  <c r="N29" i="18"/>
  <c r="O73"/>
  <c r="K23" i="12"/>
  <c r="K108" i="10"/>
  <c r="L63" i="23"/>
  <c r="O73" i="10"/>
  <c r="M88" i="2"/>
  <c r="N127" i="22"/>
  <c r="M15" i="15"/>
  <c r="L89" i="33"/>
  <c r="L69" i="3"/>
  <c r="N24" i="11"/>
  <c r="N40" i="29"/>
  <c r="N75" i="16"/>
  <c r="N30" i="24"/>
  <c r="O114" i="28"/>
  <c r="L26" i="23"/>
  <c r="O113" i="15"/>
  <c r="N26" i="6"/>
  <c r="L107"/>
  <c r="L108" i="12"/>
  <c r="L78" i="9"/>
  <c r="K63" i="20"/>
  <c r="N29" i="6"/>
  <c r="O95" i="33"/>
  <c r="O150" i="19"/>
  <c r="N136" i="11"/>
  <c r="L74" i="31"/>
  <c r="K68" i="26"/>
  <c r="O125" i="9"/>
  <c r="L132" i="4"/>
  <c r="M162" i="23"/>
  <c r="M11" i="28"/>
  <c r="O122" i="24"/>
  <c r="K43" i="21"/>
  <c r="K66" i="24"/>
  <c r="K94" i="15"/>
  <c r="O63" i="1"/>
  <c r="L77" i="20"/>
  <c r="N69" i="31"/>
  <c r="K106" i="4"/>
  <c r="M173" i="9"/>
  <c r="M154" i="11"/>
  <c r="N130" i="4"/>
  <c r="M34" i="30"/>
  <c r="O145" i="19"/>
  <c r="O4" i="17"/>
  <c r="L114" i="15"/>
  <c r="M61" i="17"/>
  <c r="N39" i="4"/>
  <c r="M33" i="23"/>
  <c r="N87" i="3"/>
  <c r="O136" i="26"/>
  <c r="K153" i="11"/>
  <c r="M24" i="4"/>
  <c r="L18" i="20"/>
  <c r="N117" i="17"/>
  <c r="M135" i="5"/>
  <c r="K146" i="27"/>
  <c r="O158"/>
  <c r="N89" i="33"/>
  <c r="O76" i="6"/>
  <c r="N172"/>
  <c r="M38" i="29"/>
  <c r="M158" i="27"/>
  <c r="L155" i="6"/>
  <c r="O111" i="26"/>
  <c r="N79" i="17"/>
  <c r="O153" i="24"/>
  <c r="L121" i="26"/>
  <c r="O155" i="11"/>
  <c r="O162" i="12"/>
  <c r="O63" i="2"/>
  <c r="M110" i="5"/>
  <c r="L139" i="20"/>
  <c r="O133" i="21"/>
  <c r="M129" i="26"/>
  <c r="N53"/>
  <c r="K109" i="15"/>
  <c r="M34" i="25"/>
  <c r="N155" i="12"/>
  <c r="K112" i="2"/>
  <c r="O119" i="26"/>
  <c r="K148" i="10"/>
  <c r="K174" i="11"/>
  <c r="L182" i="4"/>
  <c r="L34" i="10"/>
  <c r="L117" i="24"/>
  <c r="N25" i="26"/>
  <c r="K4" i="6"/>
  <c r="N168" i="2"/>
  <c r="N111" i="29"/>
  <c r="K66" i="28"/>
  <c r="K13" i="26"/>
  <c r="K141" i="3"/>
  <c r="O108" i="2"/>
  <c r="O115"/>
  <c r="K49" i="3"/>
  <c r="N171" i="12"/>
  <c r="O61" i="10"/>
  <c r="L81" i="33"/>
  <c r="O172" i="21"/>
  <c r="M57"/>
  <c r="M135" i="18"/>
  <c r="N158" i="10"/>
  <c r="M107" i="4"/>
  <c r="L174" i="10"/>
  <c r="N81" i="26"/>
  <c r="L130" i="18"/>
  <c r="L182" i="28"/>
  <c r="M173" i="15"/>
  <c r="N54" i="25"/>
  <c r="M130" i="33"/>
  <c r="K63" i="21"/>
  <c r="N146" i="12"/>
  <c r="L81" i="4"/>
  <c r="N146" i="21"/>
  <c r="O66" i="26"/>
  <c r="N24" i="5"/>
  <c r="O172" i="10"/>
  <c r="L75"/>
  <c r="M13" i="6"/>
  <c r="N177" i="15"/>
  <c r="L149" i="12"/>
  <c r="O148"/>
  <c r="O34" i="29"/>
  <c r="M76" i="2"/>
  <c r="N133" i="18"/>
  <c r="L56" i="28"/>
  <c r="M99" i="25"/>
  <c r="L144" i="20"/>
  <c r="O68" i="16"/>
  <c r="O144" i="28"/>
  <c r="N133" i="5"/>
  <c r="N51" i="25"/>
  <c r="K166" i="26"/>
  <c r="K38" i="29"/>
  <c r="M10" i="20"/>
  <c r="L16" i="16"/>
  <c r="N150" i="2"/>
  <c r="K133" i="20"/>
  <c r="M169" i="12"/>
  <c r="N183" i="24"/>
  <c r="L143" i="28"/>
  <c r="K112" i="12"/>
  <c r="O81" i="2"/>
  <c r="L51" i="1"/>
  <c r="L35" i="26"/>
  <c r="K171" i="10"/>
  <c r="N139" i="15"/>
  <c r="O77" i="16"/>
  <c r="K165" i="12"/>
  <c r="N123" i="25"/>
  <c r="O96" i="28"/>
  <c r="O51" i="24"/>
  <c r="K148" i="25"/>
  <c r="L85"/>
  <c r="L92" i="23"/>
  <c r="K33" i="10"/>
  <c r="O128" i="11"/>
  <c r="K4" i="16"/>
  <c r="L40"/>
  <c r="K112" i="22"/>
  <c r="M50" i="28"/>
  <c r="O3" i="21"/>
  <c r="L71" i="31"/>
  <c r="N4" i="6"/>
  <c r="L49" i="12"/>
  <c r="O61" i="29"/>
  <c r="O61" i="24"/>
  <c r="N56" i="33"/>
  <c r="N108" i="32"/>
  <c r="O92" i="12"/>
  <c r="K136" i="16"/>
  <c r="K166" i="33"/>
  <c r="N106" i="15"/>
  <c r="K179" i="24"/>
  <c r="N77" i="25"/>
  <c r="N155"/>
  <c r="O117" i="26"/>
  <c r="L121" i="20"/>
  <c r="K98" i="3"/>
  <c r="K178" i="12"/>
  <c r="O151" i="10"/>
  <c r="N136" i="2"/>
  <c r="O167"/>
  <c r="L110"/>
  <c r="K85" i="12"/>
  <c r="L30" i="26"/>
  <c r="O185"/>
  <c r="N177" i="19"/>
  <c r="N72" i="27"/>
  <c r="L185" i="5"/>
  <c r="L85" i="2"/>
  <c r="O183" i="12"/>
  <c r="N135" i="20"/>
  <c r="O5" i="25"/>
  <c r="M106" i="22"/>
  <c r="M13" i="15"/>
  <c r="L119" i="26"/>
  <c r="N38" i="31"/>
  <c r="M158" i="18"/>
  <c r="K116" i="10"/>
  <c r="O167" i="23"/>
  <c r="M8" i="11"/>
  <c r="O86" i="31"/>
  <c r="M23" i="24"/>
  <c r="O166" i="6"/>
  <c r="L101" i="31"/>
  <c r="L185" i="29"/>
  <c r="M40" i="28"/>
  <c r="K152" i="4"/>
  <c r="N50" i="25"/>
  <c r="N151" i="32"/>
  <c r="L181" i="28"/>
  <c r="M86" i="1"/>
  <c r="K39" i="17"/>
  <c r="K11" i="4"/>
  <c r="K116" i="1"/>
  <c r="M167" i="30"/>
  <c r="K183" i="17"/>
  <c r="L10" i="23"/>
  <c r="K30" i="19"/>
  <c r="O67" i="26"/>
  <c r="K57" i="31"/>
  <c r="M34" i="22"/>
  <c r="M185" i="27"/>
  <c r="M4" i="25"/>
  <c r="L176" i="31"/>
  <c r="K81" i="23"/>
  <c r="N65" i="4"/>
  <c r="K29" i="2"/>
  <c r="O91" i="11"/>
  <c r="M167" i="16"/>
  <c r="N102" i="31"/>
  <c r="O130" i="24"/>
  <c r="K94" i="2"/>
  <c r="L144" i="10"/>
  <c r="M142" i="26"/>
  <c r="L178" i="25"/>
  <c r="O158" i="31"/>
  <c r="N136" i="10"/>
  <c r="O148" i="22"/>
  <c r="K86" i="5"/>
  <c r="O37" i="31"/>
  <c r="K166" i="24"/>
  <c r="K168" i="12"/>
  <c r="K122" i="11"/>
  <c r="L107" i="21"/>
  <c r="K111" i="11"/>
  <c r="L86" i="22"/>
  <c r="L170" i="5"/>
  <c r="O142" i="16"/>
  <c r="K53" i="23"/>
  <c r="K20" i="25"/>
  <c r="K169" i="32"/>
  <c r="K24" i="16"/>
  <c r="M100" i="25"/>
  <c r="L150" i="6"/>
  <c r="M25" i="33"/>
  <c r="M49" i="28"/>
  <c r="L116" i="25"/>
  <c r="K74" i="12"/>
  <c r="N151" i="33"/>
  <c r="O68"/>
  <c r="O39" i="26"/>
  <c r="L85" i="19"/>
  <c r="L137" i="30"/>
  <c r="O71" i="20"/>
  <c r="L142" i="33"/>
  <c r="K76" i="10"/>
  <c r="N129" i="11"/>
  <c r="L181" i="25"/>
  <c r="K88" i="29"/>
  <c r="M49" i="31"/>
  <c r="L94" i="25"/>
  <c r="M29" i="27"/>
  <c r="N135" i="25"/>
  <c r="K147" i="4"/>
  <c r="L35" i="18"/>
  <c r="M69" i="10"/>
  <c r="M139" i="15"/>
  <c r="L172" i="27"/>
  <c r="M97" i="4"/>
  <c r="L67" i="10"/>
  <c r="K69" i="33"/>
  <c r="N56" i="16"/>
  <c r="M98" i="1"/>
  <c r="K13"/>
  <c r="O67" i="17"/>
  <c r="K51" i="30"/>
  <c r="L19" i="12"/>
  <c r="N8" i="33"/>
  <c r="L68" i="25"/>
  <c r="O86" i="22"/>
  <c r="K159" i="12"/>
  <c r="L111" i="11"/>
  <c r="K136" i="27"/>
  <c r="N73" i="25"/>
  <c r="O171" i="22"/>
  <c r="O119" i="18"/>
  <c r="N150" i="21"/>
  <c r="M178" i="33"/>
  <c r="N185" i="15"/>
  <c r="N69" i="24"/>
  <c r="K94" i="22"/>
  <c r="N33" i="25"/>
  <c r="L26" i="6"/>
  <c r="N29" i="30"/>
  <c r="M38" i="31"/>
  <c r="N163" i="25"/>
  <c r="K78" i="12"/>
  <c r="N163"/>
  <c r="M85" i="18"/>
  <c r="N106" i="19"/>
  <c r="N141" i="5"/>
  <c r="O179" i="18"/>
  <c r="O58" i="20"/>
  <c r="K59" i="19"/>
  <c r="O130" i="32"/>
  <c r="N71" i="6"/>
  <c r="M142" i="19"/>
  <c r="M113" i="21"/>
  <c r="O147" i="30"/>
  <c r="M179" i="27"/>
  <c r="L10" i="4"/>
  <c r="K25" i="24"/>
  <c r="M44" i="16"/>
  <c r="N67" i="10"/>
  <c r="M185" i="22"/>
  <c r="M6" i="2"/>
  <c r="N23" i="24"/>
  <c r="N78" i="26"/>
  <c r="O128" i="15"/>
  <c r="K118" i="32"/>
  <c r="N108" i="20"/>
  <c r="M181" i="33"/>
  <c r="N173" i="19"/>
  <c r="M169" i="16"/>
  <c r="O9" i="23"/>
  <c r="L74" i="18"/>
  <c r="O42" i="2"/>
  <c r="K143"/>
  <c r="L10" i="21"/>
  <c r="L19" i="20"/>
  <c r="M119" i="24"/>
  <c r="N19" i="19"/>
  <c r="K114" i="31"/>
  <c r="O102" i="22"/>
  <c r="L85" i="20"/>
  <c r="L35" i="22"/>
  <c r="O141" i="4"/>
  <c r="L91" i="28"/>
  <c r="L43" i="16"/>
  <c r="O9" i="18"/>
  <c r="O110" i="32"/>
  <c r="M30" i="27"/>
  <c r="N101" i="2"/>
  <c r="O131" i="12"/>
  <c r="L21" i="4"/>
  <c r="N96" i="1"/>
  <c r="K10" i="17"/>
  <c r="L93" i="21"/>
  <c r="O180" i="29"/>
  <c r="K148" i="6"/>
  <c r="K33" i="5"/>
  <c r="K57" i="18"/>
  <c r="M56" i="31"/>
  <c r="N63" i="9"/>
  <c r="K76" i="26"/>
  <c r="O142" i="30"/>
  <c r="L155" i="9"/>
  <c r="O121" i="20"/>
  <c r="M66" i="21"/>
  <c r="M35" i="11"/>
  <c r="O8" i="18"/>
  <c r="L113" i="6"/>
  <c r="M40" i="5"/>
  <c r="K142" i="28"/>
  <c r="N107" i="22"/>
  <c r="M53" i="21"/>
  <c r="O159" i="28"/>
  <c r="N14" i="2"/>
  <c r="L108" i="29"/>
  <c r="M16" i="21"/>
  <c r="K165" i="17"/>
  <c r="N137" i="2"/>
  <c r="N158" i="31"/>
  <c r="O75" i="21"/>
  <c r="M52" i="1"/>
  <c r="K25" i="20"/>
  <c r="L127" i="28"/>
  <c r="M84" i="11"/>
  <c r="L111" i="32"/>
  <c r="L176" i="22"/>
  <c r="N162" i="1"/>
  <c r="K68" i="4"/>
  <c r="M116" i="21"/>
  <c r="M159" i="33"/>
  <c r="L96" i="17"/>
  <c r="N133" i="10"/>
  <c r="O129" i="1"/>
  <c r="N56" i="2"/>
  <c r="L183" i="1"/>
  <c r="M122" i="21"/>
  <c r="N135"/>
  <c r="M130" i="9"/>
  <c r="K74" i="10"/>
  <c r="K19" i="24"/>
  <c r="M80" i="1"/>
  <c r="L127" i="4"/>
  <c r="L15" i="23"/>
  <c r="N56" i="18"/>
  <c r="K86" i="33"/>
  <c r="M64" i="31"/>
  <c r="N143" i="32"/>
  <c r="L181" i="19"/>
  <c r="M154" i="12"/>
  <c r="L178" i="9"/>
  <c r="L99" i="25"/>
  <c r="M50" i="31"/>
  <c r="O58" i="10"/>
  <c r="N75" i="32"/>
  <c r="O44" i="15"/>
  <c r="O73" i="17"/>
  <c r="N125" i="19"/>
  <c r="N49" i="12"/>
  <c r="N100" i="11"/>
  <c r="K182" i="5"/>
  <c r="N4" i="15"/>
  <c r="O87" i="32"/>
  <c r="L61"/>
  <c r="O87" i="4"/>
  <c r="M31" i="29"/>
  <c r="N135" i="1"/>
  <c r="N144" i="23"/>
  <c r="O146" i="10"/>
  <c r="K37" i="18"/>
  <c r="N101" i="25"/>
  <c r="K174" i="9"/>
  <c r="K100" i="31"/>
  <c r="N50" i="11"/>
  <c r="O117" i="32"/>
  <c r="K125" i="22"/>
  <c r="M101" i="9"/>
  <c r="L127" i="20"/>
  <c r="K185" i="15"/>
  <c r="N68" i="9"/>
  <c r="M181" i="24"/>
  <c r="N117" i="30"/>
  <c r="M117"/>
  <c r="N117" i="10"/>
  <c r="M166" i="23"/>
  <c r="O18" i="25"/>
  <c r="L53" i="12"/>
  <c r="N21" i="18"/>
  <c r="O165" i="25"/>
  <c r="K64" i="15"/>
  <c r="K43" i="2"/>
  <c r="N113" i="25"/>
  <c r="K63" i="1"/>
  <c r="N183" i="2"/>
  <c r="L171" i="23"/>
  <c r="O69" i="10"/>
  <c r="L35" i="9"/>
  <c r="K59" i="1"/>
  <c r="M130" i="30"/>
  <c r="K46" i="11"/>
  <c r="M36" i="31"/>
  <c r="N165"/>
  <c r="L18" i="15"/>
  <c r="O77" i="22"/>
  <c r="K92" i="6"/>
  <c r="M76" i="5"/>
  <c r="M15" i="4"/>
  <c r="N133" i="21"/>
  <c r="O135" i="22"/>
  <c r="K173" i="19"/>
  <c r="L99" i="28"/>
  <c r="O82" i="25"/>
  <c r="L56" i="30"/>
  <c r="M152" i="31"/>
  <c r="N18" i="2"/>
  <c r="L142" i="23"/>
  <c r="L151"/>
  <c r="K59" i="15"/>
  <c r="N63" i="18"/>
  <c r="L39" i="2"/>
  <c r="M68" i="10"/>
  <c r="N182"/>
  <c r="O177" i="30"/>
  <c r="M143" i="6"/>
  <c r="M56" i="30"/>
  <c r="L91" i="25"/>
  <c r="O60" i="16"/>
  <c r="M150" i="4"/>
  <c r="M76" i="25"/>
  <c r="K43" i="10"/>
  <c r="M19" i="27"/>
  <c r="O115" i="25"/>
  <c r="L181" i="11"/>
  <c r="L4" i="27"/>
  <c r="O59" i="9"/>
  <c r="L140"/>
  <c r="N141" i="1"/>
  <c r="N121" i="29"/>
  <c r="O42" i="28"/>
  <c r="N177" i="4"/>
  <c r="M80"/>
  <c r="K38" i="18"/>
  <c r="M47" i="4"/>
  <c r="O92" i="27"/>
  <c r="K172" i="3"/>
  <c r="K146" i="12"/>
  <c r="O3" i="9"/>
  <c r="O100" i="10"/>
  <c r="O89" i="21"/>
  <c r="L135" i="18"/>
  <c r="L78" i="26"/>
  <c r="K155" i="25"/>
  <c r="O102" i="26"/>
  <c r="L18" i="27"/>
  <c r="M8" i="24"/>
  <c r="N174" i="6"/>
  <c r="O6" i="30"/>
  <c r="O122" i="11"/>
  <c r="N183" i="22"/>
  <c r="L25" i="3"/>
  <c r="O117" i="28"/>
  <c r="L150" i="31"/>
  <c r="M46" i="18"/>
  <c r="O174" i="33"/>
  <c r="K166" i="16"/>
  <c r="N178" i="15"/>
  <c r="M128" i="24"/>
  <c r="K20" i="33"/>
  <c r="K60" i="32"/>
  <c r="L112" i="6"/>
  <c r="K47" i="5"/>
  <c r="N8" i="26"/>
  <c r="O40" i="20"/>
  <c r="O82" i="24"/>
  <c r="O4" i="18"/>
  <c r="O147" i="2"/>
  <c r="K57" i="12"/>
  <c r="N110" i="26"/>
  <c r="N45" i="10"/>
  <c r="O59" i="2"/>
  <c r="L38" i="1"/>
  <c r="K144" i="2"/>
  <c r="N126" i="31"/>
  <c r="M53" i="24"/>
  <c r="M91" i="2"/>
  <c r="N109" i="9"/>
  <c r="M160" i="25"/>
  <c r="K147" i="26"/>
  <c r="N111" i="9"/>
  <c r="O26" i="24"/>
  <c r="L110" i="11"/>
  <c r="O127" i="16"/>
  <c r="O151" i="27"/>
  <c r="L151" i="29"/>
  <c r="K53" i="21"/>
  <c r="O119" i="4"/>
  <c r="K176" i="3"/>
  <c r="N178" i="20"/>
  <c r="L50" i="24"/>
  <c r="N64" i="28"/>
  <c r="O14" i="5"/>
  <c r="M184" i="23"/>
  <c r="N64" i="17"/>
  <c r="L71" i="16"/>
  <c r="L154" i="17"/>
  <c r="N111" i="2"/>
  <c r="M19" i="24"/>
  <c r="K137" i="29"/>
  <c r="L53" i="32"/>
  <c r="K38" i="11"/>
  <c r="K147" i="12"/>
  <c r="K118" i="27"/>
  <c r="L168" i="17"/>
  <c r="O96" i="11"/>
  <c r="M98" i="27"/>
  <c r="O110" i="30"/>
  <c r="N81" i="31"/>
  <c r="O56" i="21"/>
  <c r="K136" i="26"/>
  <c r="N141" i="16"/>
  <c r="O106" i="2"/>
  <c r="O126" i="22"/>
  <c r="M159" i="23"/>
  <c r="M145" i="24"/>
  <c r="N85" i="23"/>
  <c r="N67" i="4"/>
  <c r="N176" i="28"/>
  <c r="L136" i="16"/>
  <c r="K183" i="20"/>
  <c r="L123" i="2"/>
  <c r="L53" i="25"/>
  <c r="L170" i="16"/>
  <c r="O136" i="25"/>
  <c r="L11" i="1"/>
  <c r="L165" i="3"/>
  <c r="M82" i="1"/>
  <c r="M162" i="21"/>
  <c r="O52" i="18"/>
  <c r="O4" i="4"/>
  <c r="K160" i="26"/>
  <c r="O99" i="24"/>
  <c r="N165" i="28"/>
  <c r="O98" i="30"/>
  <c r="N123" i="24"/>
  <c r="K74" i="11"/>
  <c r="M82" i="32"/>
  <c r="M96" i="18"/>
  <c r="N167" i="27"/>
  <c r="O126" i="33"/>
  <c r="K11" i="12"/>
  <c r="M110" i="21"/>
  <c r="L69" i="20"/>
  <c r="L82" i="24"/>
  <c r="L56" i="19"/>
  <c r="M147" i="32"/>
  <c r="N60" i="19"/>
  <c r="O180" i="24"/>
  <c r="L153" i="18"/>
  <c r="L54" i="2"/>
  <c r="K9" i="26"/>
  <c r="M145" i="30"/>
  <c r="O15" i="5"/>
  <c r="L97" i="22"/>
  <c r="O150" i="23"/>
  <c r="L126" i="3"/>
  <c r="O86" i="20"/>
  <c r="N97" i="29"/>
  <c r="M153" i="22"/>
  <c r="N139" i="16"/>
  <c r="N135" i="5"/>
  <c r="M128" i="11"/>
  <c r="N169" i="21"/>
  <c r="O82" i="11"/>
  <c r="K141" i="20"/>
  <c r="M157" i="24"/>
  <c r="N102" i="5"/>
  <c r="N68" i="30"/>
  <c r="K171" i="4"/>
  <c r="N43" i="25"/>
  <c r="L115" i="31"/>
  <c r="M132" i="10"/>
  <c r="K94" i="17"/>
  <c r="M52" i="29"/>
  <c r="O80" i="20"/>
  <c r="N151" i="28"/>
  <c r="N44" i="23"/>
  <c r="M167" i="1"/>
  <c r="M44" i="32"/>
  <c r="N19" i="10"/>
  <c r="L183" i="25"/>
  <c r="N137" i="28"/>
  <c r="L102" i="21"/>
  <c r="O180" i="20"/>
  <c r="K49" i="32"/>
  <c r="K24" i="17"/>
  <c r="O35" i="16"/>
  <c r="M26" i="12"/>
  <c r="O15" i="11"/>
  <c r="L94" i="12"/>
  <c r="L68" i="19"/>
  <c r="O91" i="25"/>
  <c r="K59" i="10"/>
  <c r="K169"/>
  <c r="O75" i="32"/>
  <c r="O20" i="19"/>
  <c r="M140" i="16"/>
  <c r="O118" i="25"/>
  <c r="N165" i="10"/>
  <c r="N65" i="33"/>
  <c r="N76" i="31"/>
  <c r="K135" i="3"/>
  <c r="N35" i="5"/>
  <c r="K96" i="19"/>
  <c r="N38"/>
  <c r="L183" i="26"/>
  <c r="M84" i="28"/>
  <c r="M53" i="17"/>
  <c r="K154" i="24"/>
  <c r="L139" i="19"/>
  <c r="M173" i="28"/>
  <c r="N63" i="2"/>
  <c r="L91" i="11"/>
  <c r="K111" i="25"/>
  <c r="K30"/>
  <c r="O23" i="24"/>
  <c r="O23" i="33"/>
  <c r="L108" i="22"/>
  <c r="L149" i="29"/>
  <c r="O19" i="19"/>
  <c r="O174" i="5"/>
  <c r="K94" i="29"/>
  <c r="N42" i="32"/>
  <c r="M23" i="5"/>
  <c r="L131" i="17"/>
  <c r="L152" i="20"/>
  <c r="O133" i="11"/>
  <c r="O177" i="26"/>
  <c r="K52" i="10"/>
  <c r="O163" i="4"/>
  <c r="M177" i="9"/>
  <c r="L154"/>
  <c r="L94" i="22"/>
  <c r="L34" i="23"/>
  <c r="N33" i="20"/>
  <c r="L78" i="4"/>
  <c r="L133" i="27"/>
  <c r="N165" i="19"/>
  <c r="O30" i="15"/>
  <c r="K107" i="5"/>
  <c r="M72" i="25"/>
  <c r="N16" i="5"/>
  <c r="O174" i="25"/>
  <c r="N112" i="24"/>
  <c r="L53" i="28"/>
  <c r="L180" i="25"/>
  <c r="O54" i="4"/>
  <c r="O122" i="29"/>
  <c r="M43" i="30"/>
  <c r="O169" i="19"/>
  <c r="N25" i="12"/>
  <c r="O29" i="28"/>
  <c r="M183" i="12"/>
  <c r="K20" i="27"/>
  <c r="M162" i="32"/>
  <c r="O29" i="21"/>
  <c r="L180" i="11"/>
  <c r="O111" i="15"/>
  <c r="N9" i="9"/>
  <c r="M136" i="32"/>
  <c r="K85" i="33"/>
  <c r="K142" i="10"/>
  <c r="O5" i="11"/>
  <c r="M49" i="23"/>
  <c r="M4" i="3"/>
  <c r="L4" i="24"/>
  <c r="K50" i="21"/>
  <c r="O152" i="24"/>
  <c r="N108" i="27"/>
  <c r="L92" i="31"/>
  <c r="K47" i="30"/>
  <c r="O59" i="26"/>
  <c r="M91" i="10"/>
  <c r="N53"/>
  <c r="M21" i="22"/>
  <c r="L139" i="24"/>
  <c r="N45" i="26"/>
  <c r="L86" i="4"/>
  <c r="O8" i="2"/>
  <c r="N87" i="5"/>
  <c r="K39" i="26"/>
  <c r="K122" i="10"/>
  <c r="K71" i="9"/>
  <c r="L120" i="28"/>
  <c r="N177" i="2"/>
  <c r="M4" i="20"/>
  <c r="O25" i="27"/>
  <c r="O128" i="6"/>
  <c r="O78" i="17"/>
  <c r="M116" i="22"/>
  <c r="K118" i="33"/>
  <c r="L10" i="31"/>
  <c r="L115" i="28"/>
  <c r="L182" i="25"/>
  <c r="N65" i="12"/>
  <c r="L115" i="15"/>
  <c r="M153" i="19"/>
  <c r="O28" i="11"/>
  <c r="O163" i="27"/>
  <c r="K102" i="20"/>
  <c r="M53" i="11"/>
  <c r="O23" i="21"/>
  <c r="M166" i="28"/>
  <c r="K37" i="11"/>
  <c r="O88" i="15"/>
  <c r="N139" i="29"/>
  <c r="O14" i="16"/>
  <c r="O38" i="18"/>
  <c r="N94" i="26"/>
  <c r="M44" i="6"/>
  <c r="O24" i="24"/>
  <c r="L43" i="27"/>
  <c r="L122" i="28"/>
  <c r="O44" i="24"/>
  <c r="O51" i="32"/>
  <c r="K157" i="33"/>
  <c r="K43" i="12"/>
  <c r="O153" i="28"/>
  <c r="L75" i="30"/>
  <c r="N142" i="2"/>
  <c r="K128" i="28"/>
  <c r="L6" i="29"/>
  <c r="O30" i="9"/>
  <c r="K38" i="33"/>
  <c r="K136" i="18"/>
  <c r="O144" i="19"/>
  <c r="N36" i="17"/>
  <c r="O60" i="15"/>
  <c r="M123" i="20"/>
  <c r="K43" i="5"/>
  <c r="L102" i="26"/>
  <c r="M63" i="23"/>
  <c r="M87" i="24"/>
  <c r="M38" i="1"/>
  <c r="L176" i="10"/>
  <c r="K123" i="17"/>
  <c r="O59" i="16"/>
  <c r="L26" i="29"/>
  <c r="N74" i="26"/>
  <c r="M101" i="10"/>
  <c r="L65" i="18"/>
  <c r="M51" i="25"/>
  <c r="K96" i="4"/>
  <c r="O157" i="12"/>
  <c r="L18" i="9"/>
  <c r="N25" i="29"/>
  <c r="K58" i="20"/>
  <c r="O106" i="5"/>
  <c r="K130" i="22"/>
  <c r="L14" i="33"/>
  <c r="O98" i="9"/>
  <c r="M81" i="18"/>
  <c r="L74" i="10"/>
  <c r="L31" i="24"/>
  <c r="K129" i="18"/>
  <c r="M46" i="6"/>
  <c r="N4" i="19"/>
  <c r="M120" i="11"/>
  <c r="M170" i="20"/>
  <c r="N107" i="27"/>
  <c r="K111" i="10"/>
  <c r="K60" i="31"/>
  <c r="K23" i="17"/>
  <c r="O44" i="18"/>
  <c r="O125" i="22"/>
  <c r="M177" i="31"/>
  <c r="M153" i="32"/>
  <c r="M56" i="19"/>
  <c r="K92" i="33"/>
  <c r="L21" i="16"/>
  <c r="O80" i="1"/>
  <c r="M47" i="6"/>
  <c r="K123" i="28"/>
  <c r="L180" i="24"/>
  <c r="M78" i="1"/>
  <c r="M18" i="15"/>
  <c r="N57" i="29"/>
  <c r="M115" i="33"/>
  <c r="N58" i="10"/>
  <c r="L52" i="25"/>
  <c r="K121" i="9"/>
  <c r="N108" i="31"/>
  <c r="M50" i="27"/>
  <c r="N111" i="1"/>
  <c r="M67"/>
  <c r="N99" i="5"/>
  <c r="M85" i="27"/>
  <c r="K44" i="9"/>
  <c r="M120"/>
  <c r="K130" i="27"/>
  <c r="N119" i="30"/>
  <c r="N115" i="3"/>
  <c r="O94" i="22"/>
  <c r="N47" i="20"/>
  <c r="L77" i="10"/>
  <c r="L67" i="24"/>
  <c r="L56" i="1"/>
  <c r="M96" i="24"/>
  <c r="N169" i="9"/>
  <c r="O109" i="18"/>
  <c r="K97" i="25"/>
  <c r="L181" i="26"/>
  <c r="O154" i="16"/>
  <c r="N145" i="6"/>
  <c r="O145" i="10"/>
  <c r="K106" i="29"/>
  <c r="O148" i="15"/>
  <c r="M131" i="21"/>
  <c r="N38" i="26"/>
  <c r="L146" i="2"/>
  <c r="O85" i="25"/>
  <c r="K3" i="5"/>
  <c r="N117" i="3"/>
  <c r="K75" i="11"/>
  <c r="K40" i="12"/>
  <c r="M15" i="21"/>
  <c r="M80" i="23"/>
  <c r="L137" i="21"/>
  <c r="N50" i="33"/>
  <c r="K82" i="15"/>
  <c r="O92" i="18"/>
  <c r="O177" i="32"/>
  <c r="K126" i="19"/>
  <c r="N65" i="16"/>
  <c r="M115" i="23"/>
  <c r="L152" i="1"/>
  <c r="L10" i="5"/>
  <c r="K60"/>
  <c r="N21" i="9"/>
  <c r="N43" i="32"/>
  <c r="K14" i="25"/>
  <c r="K43" i="27"/>
  <c r="N129" i="10"/>
  <c r="L29" i="1"/>
  <c r="M26" i="22"/>
  <c r="O178" i="33"/>
  <c r="O28" i="23"/>
  <c r="L113" i="20"/>
  <c r="M141" i="33"/>
  <c r="O61" i="18"/>
  <c r="M37" i="10"/>
  <c r="L33" i="20"/>
  <c r="N10" i="1"/>
  <c r="N178"/>
  <c r="L5" i="3"/>
  <c r="K23" i="33"/>
  <c r="L118" i="21"/>
  <c r="K84" i="11"/>
  <c r="L69" i="32"/>
  <c r="L114" i="25"/>
  <c r="M128" i="3"/>
  <c r="M6" i="33"/>
  <c r="M26" i="28"/>
  <c r="L143" i="30"/>
  <c r="K81" i="27"/>
  <c r="N18" i="5"/>
  <c r="M111" i="16"/>
  <c r="N96" i="9"/>
  <c r="O71" i="17"/>
  <c r="O129" i="15"/>
  <c r="O118" i="3"/>
  <c r="K92" i="29"/>
  <c r="K160" i="11"/>
  <c r="M29" i="23"/>
  <c r="M171" i="19"/>
  <c r="N67" i="30"/>
  <c r="L31" i="18"/>
  <c r="M116" i="32"/>
  <c r="L11" i="29"/>
  <c r="N4" i="30"/>
  <c r="K106" i="31"/>
  <c r="O3" i="19"/>
  <c r="M38" i="22"/>
  <c r="K58" i="29"/>
  <c r="M133" i="3"/>
  <c r="N108" i="19"/>
  <c r="M129" i="18"/>
  <c r="N92" i="33"/>
  <c r="O133" i="5"/>
  <c r="O59" i="28"/>
  <c r="N89" i="31"/>
  <c r="L3" i="32"/>
  <c r="K132" i="20"/>
  <c r="L11" i="16"/>
  <c r="M129" i="27"/>
  <c r="N21" i="3"/>
  <c r="K118" i="25"/>
  <c r="L86" i="28"/>
  <c r="O184" i="31"/>
  <c r="N141" i="18"/>
  <c r="K112" i="33"/>
  <c r="O122" i="22"/>
  <c r="M174" i="25"/>
  <c r="L107" i="23"/>
  <c r="M137" i="10"/>
  <c r="N114" i="19"/>
  <c r="L71" i="22"/>
  <c r="L131" i="33"/>
  <c r="L19" i="18"/>
  <c r="L10" i="3"/>
  <c r="K51" i="33"/>
  <c r="L179" i="17"/>
  <c r="N126" i="4"/>
  <c r="K107" i="6"/>
  <c r="L174" i="27"/>
  <c r="O5" i="29"/>
  <c r="N6" i="30"/>
  <c r="K77" i="20"/>
  <c r="M96" i="32"/>
  <c r="O87" i="6"/>
  <c r="N109" i="16"/>
  <c r="O75" i="24"/>
  <c r="K4" i="19"/>
  <c r="L93" i="25"/>
  <c r="K123" i="6"/>
  <c r="O133" i="17"/>
  <c r="K168" i="5"/>
  <c r="O15" i="1"/>
  <c r="L98" i="29"/>
  <c r="K40" i="4"/>
  <c r="O144"/>
  <c r="L174" i="3"/>
  <c r="K21" i="20"/>
  <c r="K162" i="30"/>
  <c r="N5" i="17"/>
  <c r="L184" i="27"/>
  <c r="O125" i="33"/>
  <c r="K171" i="15"/>
  <c r="M161" i="11"/>
  <c r="L135" i="25"/>
  <c r="N91" i="23"/>
  <c r="O180" i="10"/>
  <c r="L44" i="6"/>
  <c r="N163" i="1"/>
  <c r="M10" i="12"/>
  <c r="O26" i="5"/>
  <c r="O159" i="33"/>
  <c r="O84" i="15"/>
  <c r="K109" i="1"/>
  <c r="M11" i="9"/>
  <c r="K31" i="3"/>
  <c r="N134" i="2"/>
  <c r="N137" i="21"/>
  <c r="N178" i="5"/>
  <c r="N180" i="19"/>
  <c r="M154" i="32"/>
  <c r="O133" i="10"/>
  <c r="M76" i="6"/>
  <c r="O82" i="16"/>
  <c r="O74" i="12"/>
  <c r="K128" i="32"/>
  <c r="M11" i="17"/>
  <c r="M182" i="22"/>
  <c r="L110" i="31"/>
  <c r="K11" i="33"/>
  <c r="L102" i="18"/>
  <c r="L125" i="27"/>
  <c r="L151" i="3"/>
  <c r="L33" i="30"/>
  <c r="O98" i="2"/>
  <c r="L16" i="25"/>
  <c r="L18" i="23"/>
  <c r="N9" i="30"/>
  <c r="K92" i="22"/>
  <c r="L165" i="15"/>
  <c r="K167" i="5"/>
  <c r="L67" i="25"/>
  <c r="K98" i="33"/>
  <c r="O63" i="3"/>
  <c r="M60" i="10"/>
  <c r="O67" i="20"/>
  <c r="M122"/>
  <c r="M113" i="5"/>
  <c r="M125" i="23"/>
  <c r="K36" i="12"/>
  <c r="L123" i="23"/>
  <c r="N21" i="15"/>
  <c r="O67" i="11"/>
  <c r="O6" i="23"/>
  <c r="N47" i="31"/>
  <c r="O128" i="23"/>
  <c r="N59" i="15"/>
  <c r="K93" i="1"/>
  <c r="M47" i="2"/>
  <c r="K167" i="21"/>
  <c r="N136" i="31"/>
  <c r="L65" i="17"/>
  <c r="O165" i="29"/>
  <c r="K132" i="4"/>
  <c r="N179" i="22"/>
  <c r="M107" i="30"/>
  <c r="K114" i="19"/>
  <c r="K84" i="6"/>
  <c r="M35" i="5"/>
  <c r="K168" i="22"/>
  <c r="O19" i="3"/>
  <c r="N56" i="22"/>
  <c r="N31" i="33"/>
  <c r="O51" i="25"/>
  <c r="O179" i="5"/>
  <c r="L37" i="26"/>
  <c r="L162" i="5"/>
  <c r="N108" i="30"/>
  <c r="L171" i="11"/>
  <c r="O168" i="28"/>
  <c r="M117" i="19"/>
  <c r="M43" i="23"/>
  <c r="N74" i="30"/>
  <c r="N5" i="29"/>
  <c r="L69" i="16"/>
  <c r="M47" i="25"/>
  <c r="O150" i="32"/>
  <c r="M25" i="22"/>
  <c r="O86" i="30"/>
  <c r="M75" i="4"/>
  <c r="M23" i="33"/>
  <c r="K50" i="1"/>
  <c r="K146" i="10"/>
  <c r="O111" i="24"/>
  <c r="L6" i="33"/>
  <c r="N167" i="22"/>
  <c r="O137" i="30"/>
  <c r="K172" i="15"/>
  <c r="O8" i="32"/>
  <c r="N173" i="31"/>
  <c r="K6" i="26"/>
  <c r="N168" i="21"/>
  <c r="O76" i="2"/>
  <c r="O119"/>
  <c r="K111" i="33"/>
  <c r="K140" i="1"/>
  <c r="L131" i="27"/>
  <c r="L11"/>
  <c r="O114" i="9"/>
  <c r="O136"/>
  <c r="M149" i="23"/>
  <c r="M108" i="2"/>
  <c r="K160" i="6"/>
  <c r="N145" i="30"/>
  <c r="N79" i="20"/>
  <c r="M50" i="18"/>
  <c r="O31" i="21"/>
  <c r="N130" i="30"/>
  <c r="M80" i="24"/>
  <c r="O49" i="20"/>
  <c r="M144" i="29"/>
  <c r="K59" i="16"/>
  <c r="M130" i="29"/>
  <c r="K177" i="16"/>
  <c r="M82" i="18"/>
  <c r="L176" i="33"/>
  <c r="L8" i="21"/>
  <c r="L154" i="27"/>
  <c r="L161" i="20"/>
  <c r="M37" i="15"/>
  <c r="N131" i="33"/>
  <c r="K8" i="19"/>
  <c r="N75" i="21"/>
  <c r="N143" i="10"/>
  <c r="N152" i="2"/>
  <c r="L167" i="30"/>
  <c r="O39" i="20"/>
  <c r="O155" i="18"/>
  <c r="L45" i="30"/>
  <c r="N36" i="25"/>
  <c r="L10" i="26"/>
  <c r="L128" i="29"/>
  <c r="M61" i="24"/>
  <c r="N73" i="26"/>
  <c r="O53" i="33"/>
  <c r="L142" i="4"/>
  <c r="M5" i="10"/>
  <c r="K154" i="29"/>
  <c r="M60" i="6"/>
  <c r="O61" i="26"/>
  <c r="O5" i="12"/>
  <c r="L86" i="9"/>
  <c r="K96" i="17"/>
  <c r="K134" i="20"/>
  <c r="K181" i="21"/>
  <c r="O35" i="26"/>
  <c r="K121" i="21"/>
  <c r="L180" i="16"/>
  <c r="O100" i="31"/>
  <c r="L185" i="25"/>
  <c r="M173" i="23"/>
  <c r="N99" i="2"/>
  <c r="N68" i="31"/>
  <c r="K109" i="3"/>
  <c r="M129" i="29"/>
  <c r="N98" i="2"/>
  <c r="L25" i="9"/>
  <c r="N25" i="11"/>
  <c r="O169" i="16"/>
  <c r="O179" i="33"/>
  <c r="N161" i="12"/>
  <c r="L112" i="9"/>
  <c r="L123" i="16"/>
  <c r="L143" i="19"/>
  <c r="O165" i="9"/>
  <c r="L170" i="4"/>
  <c r="K33" i="1"/>
  <c r="L108" i="11"/>
  <c r="O92" i="20"/>
  <c r="L42" i="17"/>
  <c r="M172" i="33"/>
  <c r="L144" i="24"/>
  <c r="M18" i="4"/>
  <c r="O11" i="27"/>
  <c r="M42" i="11"/>
  <c r="K40" i="33"/>
  <c r="N80" i="29"/>
  <c r="O81" i="24"/>
  <c r="L15" i="5"/>
  <c r="N19" i="6"/>
  <c r="N121" i="21"/>
  <c r="O115" i="3"/>
  <c r="M9" i="28"/>
  <c r="O8" i="5"/>
  <c r="O92" i="28"/>
  <c r="M101" i="20"/>
  <c r="K118" i="23"/>
  <c r="O176"/>
  <c r="M47" i="27"/>
  <c r="O10" i="17"/>
  <c r="L18"/>
  <c r="M73" i="33"/>
  <c r="O4" i="5"/>
  <c r="K92" i="20"/>
  <c r="M161" i="6"/>
  <c r="K35" i="4"/>
  <c r="K74" i="33"/>
  <c r="O14" i="2"/>
  <c r="O116" i="25"/>
  <c r="N25" i="28"/>
  <c r="L78" i="17"/>
  <c r="O61" i="5"/>
  <c r="L126" i="4"/>
  <c r="N143" i="19"/>
  <c r="M172" i="29"/>
  <c r="M136" i="18"/>
  <c r="O183" i="28"/>
  <c r="L119" i="29"/>
  <c r="L59" i="33"/>
  <c r="L115" i="32"/>
  <c r="M139" i="29"/>
  <c r="K157" i="25"/>
  <c r="N34" i="20"/>
  <c r="N179" i="33"/>
  <c r="N66" i="29"/>
  <c r="O20" i="23"/>
  <c r="O159" i="2"/>
  <c r="K59" i="17"/>
  <c r="K42" i="26"/>
  <c r="O146" i="25"/>
  <c r="O75" i="31"/>
  <c r="O5" i="26"/>
  <c r="K101" i="10"/>
  <c r="L8" i="18"/>
  <c r="M115" i="15"/>
  <c r="K31" i="17"/>
  <c r="N122" i="12"/>
  <c r="O159" i="24"/>
  <c r="O69" i="3"/>
  <c r="M100" i="12"/>
  <c r="K35" i="2"/>
  <c r="O159" i="27"/>
  <c r="M170" i="4"/>
  <c r="O125" i="25"/>
  <c r="L10" i="30"/>
  <c r="K72"/>
  <c r="K29" i="15"/>
  <c r="M40" i="16"/>
  <c r="M112" i="1"/>
  <c r="K6" i="25"/>
  <c r="L87" i="10"/>
  <c r="K80" i="28"/>
  <c r="K35"/>
  <c r="O115" i="15"/>
  <c r="N8" i="28"/>
  <c r="L112" i="2"/>
  <c r="N45"/>
  <c r="M43" i="25"/>
  <c r="K50" i="24"/>
  <c r="K178" i="25"/>
  <c r="N95" i="23"/>
  <c r="N85" i="11"/>
  <c r="K67" i="6"/>
  <c r="K122" i="16"/>
  <c r="K43" i="3"/>
  <c r="O144" i="29"/>
  <c r="L34" i="32"/>
  <c r="O144" i="6"/>
  <c r="K51" i="29"/>
  <c r="K14" i="2"/>
  <c r="M112" i="22"/>
  <c r="N133" i="24"/>
  <c r="O115" i="21"/>
  <c r="L63" i="5"/>
  <c r="M136" i="24"/>
  <c r="O38" i="4"/>
  <c r="L40" i="12"/>
  <c r="N56" i="20"/>
  <c r="N65" i="11"/>
  <c r="O47" i="6"/>
  <c r="L16" i="28"/>
  <c r="N31" i="4"/>
  <c r="M168" i="29"/>
  <c r="N163" i="27"/>
  <c r="K158" i="29"/>
  <c r="K122" i="2"/>
  <c r="N116" i="6"/>
  <c r="O39" i="33"/>
  <c r="M174" i="26"/>
  <c r="K19" i="1"/>
  <c r="N6" i="6"/>
  <c r="N25" i="1"/>
  <c r="K87" i="15"/>
  <c r="N132" i="1"/>
  <c r="O171" i="5"/>
  <c r="N63" i="6"/>
  <c r="K98" i="19"/>
  <c r="M117" i="18"/>
  <c r="N169" i="27"/>
  <c r="O28" i="3"/>
  <c r="N113" i="12"/>
  <c r="N166" i="20"/>
  <c r="M114" i="10"/>
  <c r="O19" i="29"/>
  <c r="K45"/>
  <c r="K114" i="28"/>
  <c r="M20" i="4"/>
  <c r="K16" i="10"/>
  <c r="O155" i="20"/>
  <c r="N8" i="29"/>
  <c r="M19" i="4"/>
  <c r="O137" i="21"/>
  <c r="M169" i="6"/>
  <c r="K160" i="19"/>
  <c r="K101" i="6"/>
  <c r="N137" i="16"/>
  <c r="N13" i="18"/>
  <c r="K79" i="6"/>
  <c r="O182" i="28"/>
  <c r="N182" i="26"/>
  <c r="O59" i="22"/>
  <c r="K122" i="18"/>
  <c r="N91" i="5"/>
  <c r="N113" i="30"/>
  <c r="M15" i="2"/>
  <c r="K149" i="20"/>
  <c r="M126" i="28"/>
  <c r="O71"/>
  <c r="M43" i="20"/>
  <c r="L91" i="12"/>
  <c r="N34" i="5"/>
  <c r="M91" i="29"/>
  <c r="L118" i="16"/>
  <c r="O173" i="25"/>
  <c r="N145" i="18"/>
  <c r="O126" i="12"/>
  <c r="M46" i="9"/>
  <c r="N93" i="18"/>
  <c r="O61" i="19"/>
  <c r="N172" i="31"/>
  <c r="M15" i="24"/>
  <c r="K86" i="32"/>
  <c r="L145" i="18"/>
  <c r="K94" i="5"/>
  <c r="L151" i="4"/>
  <c r="O46" i="24"/>
  <c r="O136" i="11"/>
  <c r="K68" i="29"/>
  <c r="O56" i="28"/>
  <c r="N58" i="31"/>
  <c r="M119" i="15"/>
  <c r="N182" i="31"/>
  <c r="N153" i="22"/>
  <c r="N115" i="32"/>
  <c r="M34" i="18"/>
  <c r="O116" i="5"/>
  <c r="O6" i="17"/>
  <c r="M25" i="32"/>
  <c r="L114" i="1"/>
  <c r="K120" i="20"/>
  <c r="M37" i="11"/>
  <c r="K5" i="32"/>
  <c r="K37" i="28"/>
  <c r="L128" i="15"/>
  <c r="M5" i="22"/>
  <c r="O151" i="2"/>
  <c r="M92" i="20"/>
  <c r="O46"/>
  <c r="L137" i="12"/>
  <c r="M176" i="26"/>
  <c r="O67" i="16"/>
  <c r="L25" i="29"/>
  <c r="L58" i="28"/>
  <c r="O86" i="11"/>
  <c r="N174" i="1"/>
  <c r="O53" i="26"/>
  <c r="N10" i="21"/>
  <c r="N150" i="4"/>
  <c r="L148" i="29"/>
  <c r="N85"/>
  <c r="M88" i="25"/>
  <c r="M29" i="26"/>
  <c r="O119" i="5"/>
  <c r="N112" i="17"/>
  <c r="K167" i="26"/>
  <c r="L143" i="25"/>
  <c r="N162" i="18"/>
  <c r="L102" i="9"/>
  <c r="K169" i="18"/>
  <c r="K144" i="1"/>
  <c r="O125" i="20"/>
  <c r="K98" i="6"/>
  <c r="K89"/>
  <c r="L39" i="19"/>
  <c r="N154" i="21"/>
  <c r="M26" i="1"/>
  <c r="N63" i="5"/>
  <c r="M176" i="19"/>
  <c r="L126" i="33"/>
  <c r="N115" i="18"/>
  <c r="L148" i="32"/>
  <c r="L150" i="21"/>
  <c r="M74" i="26"/>
  <c r="L97" i="21"/>
  <c r="K184" i="12"/>
  <c r="L94" i="5"/>
  <c r="L56" i="33"/>
  <c r="O107" i="15"/>
  <c r="N24" i="27"/>
  <c r="K127" i="29"/>
  <c r="M59" i="4"/>
  <c r="L122" i="20"/>
  <c r="N92" i="21"/>
  <c r="O72" i="12"/>
  <c r="N77" i="28"/>
  <c r="N134" i="24"/>
  <c r="K67" i="31"/>
  <c r="O148" i="33"/>
  <c r="K51" i="4"/>
  <c r="M155" i="20"/>
  <c r="K5" i="12"/>
  <c r="M57" i="10"/>
  <c r="L107" i="26"/>
  <c r="L131" i="11"/>
  <c r="K125" i="3"/>
  <c r="O142" i="9"/>
  <c r="O89" i="29"/>
  <c r="N176" i="31"/>
  <c r="L51" i="15"/>
  <c r="N147" i="25"/>
  <c r="N168" i="26"/>
  <c r="K4" i="33"/>
  <c r="K26" i="19"/>
  <c r="O109" i="17"/>
  <c r="K168" i="1"/>
  <c r="K139" i="31"/>
  <c r="K170" i="17"/>
  <c r="L53" i="33"/>
  <c r="N40" i="1"/>
  <c r="K177" i="3"/>
  <c r="O123" i="32"/>
  <c r="N39" i="2"/>
  <c r="M139" i="30"/>
  <c r="O121" i="11"/>
  <c r="O160" i="33"/>
  <c r="N67" i="17"/>
  <c r="M94" i="20"/>
  <c r="K5" i="33"/>
  <c r="O36" i="10"/>
  <c r="N158" i="15"/>
  <c r="K35" i="18"/>
  <c r="L98" i="28"/>
  <c r="M102" i="3"/>
  <c r="M125" i="32"/>
  <c r="M19" i="26"/>
  <c r="K140" i="12"/>
  <c r="L181" i="15"/>
  <c r="N13" i="30"/>
  <c r="O177" i="10"/>
  <c r="N61" i="5"/>
  <c r="K150" i="25"/>
  <c r="L25" i="10"/>
  <c r="O81" i="18"/>
  <c r="K85" i="3"/>
  <c r="M160" i="4"/>
  <c r="N15" i="5"/>
  <c r="M141" i="24"/>
  <c r="M61" i="20"/>
  <c r="M111" i="4"/>
  <c r="N78" i="24"/>
  <c r="K13" i="15"/>
  <c r="K50" i="11"/>
  <c r="L114" i="24"/>
  <c r="M108" i="6"/>
  <c r="K135" i="25"/>
  <c r="K96" i="2"/>
  <c r="K15" i="12"/>
  <c r="K24" i="18"/>
  <c r="M78" i="9"/>
  <c r="L16" i="33"/>
  <c r="K101" i="4"/>
  <c r="N54"/>
  <c r="N129" i="6"/>
  <c r="L148" i="15"/>
  <c r="L47" i="11"/>
  <c r="N57" i="12"/>
  <c r="O59" i="3"/>
  <c r="L87" i="12"/>
  <c r="O67" i="28"/>
  <c r="M49" i="17"/>
  <c r="M24" i="11"/>
  <c r="M176" i="1"/>
  <c r="L84" i="6"/>
  <c r="N34" i="9"/>
  <c r="N66" i="2"/>
  <c r="N116" i="30"/>
  <c r="K176" i="4"/>
  <c r="O106" i="22"/>
  <c r="K121" i="20"/>
  <c r="N68" i="19"/>
  <c r="L73" i="33"/>
  <c r="M152" i="32"/>
  <c r="L43" i="6"/>
  <c r="L78" i="1"/>
  <c r="L141" i="31"/>
  <c r="M54" i="2"/>
  <c r="K154" i="30"/>
  <c r="M154"/>
  <c r="O66" i="24"/>
  <c r="M180" i="2"/>
  <c r="K13" i="33"/>
  <c r="O50"/>
  <c r="O152" i="4"/>
  <c r="M100" i="29"/>
  <c r="L82" i="23"/>
  <c r="M9" i="20"/>
  <c r="N87" i="1"/>
  <c r="M71" i="11"/>
  <c r="L134" i="10"/>
  <c r="M60" i="18"/>
  <c r="O172" i="33"/>
  <c r="O91" i="20"/>
  <c r="K150" i="23"/>
  <c r="O126" i="4"/>
  <c r="O3" i="6"/>
  <c r="L147" i="2"/>
  <c r="M14" i="25"/>
  <c r="L60" i="15"/>
  <c r="K163"/>
  <c r="M68" i="24"/>
  <c r="L51" i="32"/>
  <c r="N125" i="23"/>
  <c r="M114" i="32"/>
  <c r="L140" i="5"/>
  <c r="N71" i="12"/>
  <c r="K10" i="33"/>
  <c r="K115" i="28"/>
  <c r="K173" i="10"/>
  <c r="L52" i="22"/>
  <c r="M163" i="33"/>
  <c r="L23" i="18"/>
  <c r="L14" i="16"/>
  <c r="K172" i="18"/>
  <c r="K78" i="27"/>
  <c r="M43" i="11"/>
  <c r="N4" i="28"/>
  <c r="K21" i="6"/>
  <c r="N86" i="18"/>
  <c r="L58" i="27"/>
  <c r="L10" i="32"/>
  <c r="O154" i="19"/>
  <c r="K75" i="4"/>
  <c r="M162" i="16"/>
  <c r="M100" i="22"/>
  <c r="M184" i="25"/>
  <c r="L106" i="31"/>
  <c r="O152" i="21"/>
  <c r="M144" i="28"/>
  <c r="O180" i="16"/>
  <c r="K116" i="25"/>
  <c r="N93" i="1"/>
  <c r="M162" i="20"/>
  <c r="K114" i="2"/>
  <c r="L69" i="21"/>
  <c r="O56" i="30"/>
  <c r="K171" i="1"/>
  <c r="N30" i="2"/>
  <c r="N29" i="16"/>
  <c r="L14" i="27"/>
  <c r="L122" i="12"/>
  <c r="L115" i="19"/>
  <c r="L153" i="28"/>
  <c r="O11" i="15"/>
  <c r="O28" i="1"/>
  <c r="L107" i="31"/>
  <c r="O114" i="23"/>
  <c r="L10" i="29"/>
  <c r="K53" i="24"/>
  <c r="M129" i="11"/>
  <c r="K149" i="16"/>
  <c r="K137" i="21"/>
  <c r="L136" i="26"/>
  <c r="M72" i="18"/>
  <c r="N20" i="20"/>
  <c r="L102"/>
  <c r="K58" i="22"/>
  <c r="K183" i="21"/>
  <c r="K113" i="20"/>
  <c r="K69" i="19"/>
  <c r="M147" i="2"/>
  <c r="M169" i="32"/>
  <c r="N20" i="19"/>
  <c r="M143" i="4"/>
  <c r="O76" i="18"/>
  <c r="O40" i="16"/>
  <c r="M147" i="31"/>
  <c r="N120" i="25"/>
  <c r="O146" i="22"/>
  <c r="N102" i="17"/>
  <c r="N168" i="22"/>
  <c r="K114" i="20"/>
  <c r="L154" i="23"/>
  <c r="O179" i="25"/>
  <c r="M168" i="2"/>
  <c r="N42" i="22"/>
  <c r="M141" i="19"/>
  <c r="K49" i="5"/>
  <c r="K100" i="3"/>
  <c r="O126" i="21"/>
  <c r="N165" i="3"/>
  <c r="N102" i="6"/>
  <c r="K6" i="30"/>
  <c r="N92" i="17"/>
  <c r="K3" i="9"/>
  <c r="K163" i="6"/>
  <c r="O141" i="20"/>
  <c r="N6" i="4"/>
  <c r="K165" i="28"/>
  <c r="M180" i="29"/>
  <c r="K170" i="24"/>
  <c r="K87" i="12"/>
  <c r="N40" i="26"/>
  <c r="M6" i="9"/>
  <c r="O162" i="3"/>
  <c r="K114" i="17"/>
  <c r="N88" i="2"/>
  <c r="M29" i="20"/>
  <c r="O180" i="28"/>
  <c r="L132" i="2"/>
  <c r="N39" i="23"/>
  <c r="N16" i="25"/>
  <c r="M114" i="17"/>
  <c r="M47" i="10"/>
  <c r="O117" i="1"/>
  <c r="O80" i="30"/>
  <c r="N53" i="1"/>
  <c r="N155" i="20"/>
  <c r="L82" i="15"/>
  <c r="L95" i="27"/>
  <c r="K179" i="6"/>
  <c r="N123" i="20"/>
  <c r="K6" i="29"/>
  <c r="N125" i="11"/>
  <c r="K49" i="16"/>
  <c r="L147" i="5"/>
  <c r="N109" i="29"/>
  <c r="N114" i="25"/>
  <c r="K140" i="9"/>
  <c r="N176" i="20"/>
  <c r="O176" i="22"/>
  <c r="N37" i="12"/>
  <c r="O85" i="21"/>
  <c r="N176" i="32"/>
  <c r="N158" i="24"/>
  <c r="O170" i="12"/>
  <c r="O126" i="28"/>
  <c r="O38" i="20"/>
  <c r="K101" i="24"/>
  <c r="K44" i="28"/>
  <c r="L96" i="24"/>
  <c r="L149" i="11"/>
  <c r="K114" i="23"/>
  <c r="K109" i="32"/>
  <c r="M146" i="33"/>
  <c r="N85" i="26"/>
  <c r="L168" i="12"/>
  <c r="K163" i="3"/>
  <c r="M154" i="2"/>
  <c r="L162" i="11"/>
  <c r="N82" i="27"/>
  <c r="O73" i="2"/>
  <c r="M9"/>
  <c r="M157" i="17"/>
  <c r="N118" i="11"/>
  <c r="O5" i="20"/>
  <c r="K38" i="32"/>
  <c r="O123" i="20"/>
  <c r="N68" i="18"/>
  <c r="K131" i="20"/>
  <c r="O166" i="12"/>
  <c r="M141" i="4"/>
  <c r="O109" i="24"/>
  <c r="M39" i="10"/>
  <c r="N51" i="15"/>
  <c r="K44" i="21"/>
  <c r="M3" i="6"/>
  <c r="L131" i="16"/>
  <c r="L64" i="19"/>
  <c r="O155" i="10"/>
  <c r="N28" i="12"/>
  <c r="K163" i="5"/>
  <c r="M94" i="29"/>
  <c r="M56" i="16"/>
  <c r="O147" i="15"/>
  <c r="M147" i="24"/>
  <c r="K36" i="25"/>
  <c r="O172" i="28"/>
  <c r="M137" i="30"/>
  <c r="M16" i="18"/>
  <c r="N20" i="30"/>
  <c r="L73" i="28"/>
  <c r="L122" i="32"/>
  <c r="O165" i="30"/>
  <c r="L117" i="32"/>
  <c r="N59" i="12"/>
  <c r="N79" i="22"/>
  <c r="K57" i="33"/>
  <c r="M78" i="22"/>
  <c r="L61" i="23"/>
  <c r="N78" i="9"/>
  <c r="M167" i="33"/>
  <c r="L8" i="25"/>
  <c r="K136" i="21"/>
  <c r="M168" i="18"/>
  <c r="K23" i="15"/>
  <c r="N52" i="12"/>
  <c r="M126" i="22"/>
  <c r="N89" i="17"/>
  <c r="N149" i="10"/>
  <c r="O47" i="2"/>
  <c r="K97" i="32"/>
  <c r="N122" i="3"/>
  <c r="L35" i="16"/>
  <c r="N78" i="27"/>
  <c r="M9" i="33"/>
  <c r="K30" i="11"/>
  <c r="N6" i="29"/>
  <c r="L146" i="31"/>
  <c r="K114" i="4"/>
  <c r="K129" i="23"/>
  <c r="M82" i="27"/>
  <c r="N97" i="31"/>
  <c r="L114" i="33"/>
  <c r="N97" i="11"/>
  <c r="O114" i="25"/>
  <c r="N25" i="19"/>
  <c r="O45" i="33"/>
  <c r="N94" i="15"/>
  <c r="K5" i="10"/>
  <c r="K128" i="33"/>
  <c r="N34" i="6"/>
  <c r="K97" i="19"/>
  <c r="M44" i="17"/>
  <c r="O161" i="26"/>
  <c r="N141" i="22"/>
  <c r="O14" i="20"/>
  <c r="M157" i="25"/>
  <c r="N166" i="32"/>
  <c r="N93" i="4"/>
  <c r="L36" i="32"/>
  <c r="N91" i="19"/>
  <c r="O50" i="6"/>
  <c r="N67" i="3"/>
  <c r="N179" i="9"/>
  <c r="O66" i="12"/>
  <c r="K81" i="1"/>
  <c r="M57" i="9"/>
  <c r="K82" i="27"/>
  <c r="O159" i="20"/>
  <c r="N157" i="6"/>
  <c r="O46" i="10"/>
  <c r="N163" i="28"/>
  <c r="O113" i="17"/>
  <c r="M97" i="6"/>
  <c r="N35" i="24"/>
  <c r="N91" i="1"/>
  <c r="K166" i="11"/>
  <c r="N47" i="23"/>
  <c r="O85" i="33"/>
  <c r="L121" i="6"/>
  <c r="K173" i="4"/>
  <c r="M24" i="27"/>
  <c r="N181" i="30"/>
  <c r="N132" i="24"/>
  <c r="N128" i="11"/>
  <c r="K80" i="25"/>
  <c r="M86" i="12"/>
  <c r="K140" i="26"/>
  <c r="O116" i="24"/>
  <c r="M84" i="17"/>
  <c r="L31" i="28"/>
  <c r="N147" i="11"/>
  <c r="M137" i="1"/>
  <c r="O116" i="33"/>
  <c r="L133" i="11"/>
  <c r="L99" i="12"/>
  <c r="K43" i="9"/>
  <c r="O35" i="32"/>
  <c r="M173" i="3"/>
  <c r="N13" i="11"/>
  <c r="K16" i="4"/>
  <c r="N69" i="18"/>
  <c r="K50" i="3"/>
  <c r="L77" i="26"/>
  <c r="O142" i="1"/>
  <c r="M123" i="12"/>
  <c r="N136" i="1"/>
  <c r="O167" i="17"/>
  <c r="L169" i="10"/>
  <c r="K46" i="3"/>
  <c r="M30" i="24"/>
  <c r="N143" i="25"/>
  <c r="K123" i="4"/>
  <c r="M110" i="18"/>
  <c r="K56" i="27"/>
  <c r="O39" i="19"/>
  <c r="K60" i="11"/>
  <c r="N86"/>
  <c r="K36" i="5"/>
  <c r="O18" i="10"/>
  <c r="K49" i="33"/>
  <c r="O172" i="25"/>
  <c r="L91" i="30"/>
  <c r="N28" i="10"/>
  <c r="M109" i="27"/>
  <c r="N184"/>
  <c r="L160" i="12"/>
  <c r="K129" i="11"/>
  <c r="N31" i="28"/>
  <c r="O11" i="30"/>
  <c r="N120" i="3"/>
  <c r="M120" i="17"/>
  <c r="M11" i="23"/>
  <c r="N126" i="15"/>
  <c r="O98" i="5"/>
  <c r="N19" i="15"/>
  <c r="N102" i="18"/>
  <c r="O50" i="20"/>
  <c r="L74" i="16"/>
  <c r="K28" i="15"/>
  <c r="L37" i="10"/>
  <c r="K54" i="5"/>
  <c r="O19" i="17"/>
  <c r="L165" i="10"/>
  <c r="M74" i="23"/>
  <c r="N98" i="17"/>
  <c r="N47" i="1"/>
  <c r="K135" i="21"/>
  <c r="O115" i="23"/>
  <c r="N63" i="21"/>
  <c r="L87" i="2"/>
  <c r="M9" i="21"/>
  <c r="L147" i="28"/>
  <c r="O69" i="30"/>
  <c r="N37" i="1"/>
  <c r="N157" i="11"/>
  <c r="L150" i="32"/>
  <c r="O59" i="21"/>
  <c r="N106" i="23"/>
  <c r="M122" i="6"/>
  <c r="O58" i="29"/>
  <c r="L170" i="26"/>
  <c r="N18" i="1"/>
  <c r="N50" i="31"/>
  <c r="M78" i="16"/>
  <c r="K89" i="19"/>
  <c r="O171" i="32"/>
  <c r="K145" i="30"/>
  <c r="M10" i="4"/>
  <c r="N29" i="19"/>
  <c r="L122" i="31"/>
  <c r="K69" i="23"/>
  <c r="N171" i="19"/>
  <c r="M135" i="6"/>
  <c r="L65" i="23"/>
  <c r="O162" i="5"/>
  <c r="N52" i="22"/>
  <c r="L150" i="19"/>
  <c r="L177" i="4"/>
  <c r="L88" i="24"/>
  <c r="L134" i="3"/>
  <c r="K21" i="32"/>
  <c r="L162" i="12"/>
  <c r="O102" i="17"/>
  <c r="O35" i="3"/>
  <c r="N110" i="25"/>
  <c r="L49" i="10"/>
  <c r="L113" i="5"/>
  <c r="O157" i="31"/>
  <c r="K117" i="1"/>
  <c r="K127" i="15"/>
  <c r="O72" i="4"/>
  <c r="N57" i="2"/>
  <c r="L40" i="19"/>
  <c r="L60" i="33"/>
  <c r="L169" i="29"/>
  <c r="L116" i="6"/>
  <c r="O158" i="15"/>
  <c r="O86" i="32"/>
  <c r="M170" i="1"/>
  <c r="K15"/>
  <c r="N19" i="31"/>
  <c r="L148" i="16"/>
  <c r="N38" i="24"/>
  <c r="K58" i="27"/>
  <c r="L26" i="2"/>
  <c r="M129" i="5"/>
  <c r="L18" i="10"/>
  <c r="K111" i="29"/>
  <c r="M172" i="30"/>
  <c r="L168" i="27"/>
  <c r="N86" i="26"/>
  <c r="L91" i="21"/>
  <c r="K77" i="9"/>
  <c r="O39" i="22"/>
  <c r="N47"/>
  <c r="O168" i="32"/>
  <c r="O40" i="30"/>
  <c r="K88" i="26"/>
  <c r="M170" i="19"/>
  <c r="L116" i="22"/>
  <c r="K180" i="20"/>
  <c r="O74" i="26"/>
  <c r="O65" i="19"/>
  <c r="N142" i="5"/>
  <c r="K163" i="32"/>
  <c r="K63" i="19"/>
  <c r="O182" i="3"/>
  <c r="K94"/>
  <c r="K154" i="31"/>
  <c r="N47" i="19"/>
  <c r="O179" i="17"/>
  <c r="N150" i="5"/>
  <c r="N112" i="32"/>
  <c r="L38" i="5"/>
  <c r="K108" i="11"/>
  <c r="O146" i="9"/>
  <c r="M146" i="6"/>
  <c r="L181" i="5"/>
  <c r="N173" i="30"/>
  <c r="K178" i="4"/>
  <c r="K94" i="27"/>
  <c r="L92" i="17"/>
  <c r="L177" i="18"/>
  <c r="K153" i="20"/>
  <c r="K121" i="17"/>
  <c r="L129" i="32"/>
  <c r="M89" i="19"/>
  <c r="N34" i="22"/>
  <c r="N117" i="26"/>
  <c r="M91" i="31"/>
  <c r="L24" i="19"/>
  <c r="O59" i="31"/>
  <c r="K119" i="15"/>
  <c r="M6" i="30"/>
  <c r="K167" i="33"/>
  <c r="O152" i="15"/>
  <c r="K38" i="31"/>
  <c r="O3" i="18"/>
  <c r="O123" i="25"/>
  <c r="O159" i="3"/>
  <c r="M26" i="11"/>
  <c r="K76" i="22"/>
  <c r="O133"/>
  <c r="N4" i="11"/>
  <c r="L34" i="5"/>
  <c r="N108" i="28"/>
  <c r="L52" i="20"/>
  <c r="O107" i="22"/>
  <c r="K53" i="30"/>
  <c r="O157" i="3"/>
  <c r="N129" i="30"/>
  <c r="M21" i="5"/>
  <c r="K31" i="19"/>
  <c r="K97" i="23"/>
  <c r="O71" i="15"/>
  <c r="N141" i="17"/>
  <c r="L50" i="32"/>
  <c r="K110" i="22"/>
  <c r="M179" i="17"/>
  <c r="L40" i="4"/>
  <c r="K14" i="5"/>
  <c r="K111" i="3"/>
  <c r="M56" i="6"/>
  <c r="O165" i="11"/>
  <c r="M166" i="29"/>
  <c r="N30" i="17"/>
  <c r="L71" i="27"/>
  <c r="K147" i="25"/>
  <c r="N131" i="27"/>
  <c r="K46" i="1"/>
  <c r="N126" i="25"/>
  <c r="M120" i="5"/>
  <c r="N113" i="11"/>
  <c r="L135" i="24"/>
  <c r="M133" i="1"/>
  <c r="K166" i="15"/>
  <c r="L150" i="10"/>
  <c r="O100" i="3"/>
  <c r="M127" i="19"/>
  <c r="K5" i="31"/>
  <c r="N133" i="3"/>
  <c r="L173" i="29"/>
  <c r="M59" i="30"/>
  <c r="M139" i="9"/>
  <c r="O137" i="1"/>
  <c r="O92" i="6"/>
  <c r="N14" i="27"/>
  <c r="N159" i="16"/>
  <c r="N26" i="18"/>
  <c r="M159" i="10"/>
  <c r="K85" i="9"/>
  <c r="O147" i="26"/>
  <c r="O181" i="3"/>
  <c r="M46" i="32"/>
  <c r="L182" i="19"/>
  <c r="N163" i="15"/>
  <c r="K37" i="1"/>
  <c r="N129" i="15"/>
  <c r="N26" i="3"/>
  <c r="L167" i="27"/>
  <c r="L133" i="32"/>
  <c r="L109" i="30"/>
  <c r="O102" i="33"/>
  <c r="N100" i="6"/>
  <c r="O148" i="30"/>
  <c r="M79" i="15"/>
  <c r="K68" i="28"/>
  <c r="M110" i="20"/>
  <c r="K78" i="19"/>
  <c r="L154" i="25"/>
  <c r="O128" i="3"/>
  <c r="L127" i="26"/>
  <c r="N25" i="24"/>
  <c r="L179" i="2"/>
  <c r="N120" i="28"/>
  <c r="M170" i="26"/>
  <c r="K23" i="27"/>
  <c r="L21" i="15"/>
  <c r="L135" i="33"/>
  <c r="N169" i="22"/>
  <c r="M58" i="25"/>
  <c r="L116" i="18"/>
  <c r="L21" i="12"/>
  <c r="M95" i="26"/>
  <c r="L98" i="24"/>
  <c r="O50" i="4"/>
  <c r="N148" i="33"/>
  <c r="K135" i="4"/>
  <c r="L159" i="28"/>
  <c r="K20" i="4"/>
  <c r="K143" i="10"/>
  <c r="K4" i="24"/>
  <c r="O109" i="21"/>
  <c r="M119" i="12"/>
  <c r="K94" i="24"/>
  <c r="M152" i="4"/>
  <c r="M126" i="30"/>
  <c r="N87" i="31"/>
  <c r="O169" i="24"/>
  <c r="L89" i="10"/>
  <c r="M100" i="24"/>
  <c r="N149" i="11"/>
  <c r="N163" i="33"/>
  <c r="N157" i="26"/>
  <c r="O132" i="24"/>
  <c r="K139" i="12"/>
  <c r="N26" i="30"/>
  <c r="O75" i="26"/>
  <c r="L72" i="21"/>
  <c r="N66" i="15"/>
  <c r="L3" i="4"/>
  <c r="N80" i="18"/>
  <c r="K84" i="2"/>
  <c r="K130" i="1"/>
  <c r="O54" i="12"/>
  <c r="N154" i="24"/>
  <c r="N112" i="5"/>
  <c r="K158" i="6"/>
  <c r="M158" i="24"/>
  <c r="L78" i="6"/>
  <c r="N140" i="17"/>
  <c r="L120" i="4"/>
  <c r="N181" i="28"/>
  <c r="N95" i="24"/>
  <c r="L46" i="27"/>
  <c r="N117" i="19"/>
  <c r="N42" i="6"/>
  <c r="M140" i="1"/>
  <c r="M162" i="15"/>
  <c r="L162" i="28"/>
  <c r="N35" i="33"/>
  <c r="O119" i="3"/>
  <c r="K108" i="5"/>
  <c r="O168" i="26"/>
  <c r="N67" i="23"/>
  <c r="K179" i="17"/>
  <c r="K23" i="29"/>
  <c r="N82" i="17"/>
  <c r="O185" i="24"/>
  <c r="O14" i="26"/>
  <c r="O53" i="15"/>
  <c r="M84" i="3"/>
  <c r="M53" i="23"/>
  <c r="M72" i="29"/>
  <c r="K149" i="22"/>
  <c r="N15" i="3"/>
  <c r="O101" i="19"/>
  <c r="O158" i="26"/>
  <c r="L106" i="18"/>
  <c r="K148" i="12"/>
  <c r="K84" i="18"/>
  <c r="M144" i="27"/>
  <c r="O69" i="26"/>
  <c r="N102" i="30"/>
  <c r="M168" i="1"/>
  <c r="K87" i="18"/>
  <c r="M72" i="17"/>
  <c r="M31" i="31"/>
  <c r="L79" i="22"/>
  <c r="O122" i="4"/>
  <c r="L6" i="2"/>
  <c r="O16" i="24"/>
  <c r="M133" i="4"/>
  <c r="L112" i="33"/>
  <c r="M75" i="16"/>
  <c r="N82" i="11"/>
  <c r="K130" i="18"/>
  <c r="K57" i="24"/>
  <c r="M163" i="20"/>
  <c r="N113" i="28"/>
  <c r="L153" i="33"/>
  <c r="M136" i="1"/>
  <c r="K150" i="9"/>
  <c r="O64" i="3"/>
  <c r="K65" i="19"/>
  <c r="K73" i="26"/>
  <c r="K185" i="6"/>
  <c r="O121" i="4"/>
  <c r="N113" i="1"/>
  <c r="N47" i="16"/>
  <c r="M148" i="26"/>
  <c r="M129" i="19"/>
  <c r="K79" i="5"/>
  <c r="O147" i="20"/>
  <c r="K95" i="11"/>
  <c r="O113"/>
  <c r="O63" i="23"/>
  <c r="M148" i="25"/>
  <c r="O73" i="21"/>
  <c r="O130" i="20"/>
  <c r="K147" i="33"/>
  <c r="M49" i="18"/>
  <c r="N145" i="16"/>
  <c r="N29" i="9"/>
  <c r="N183" i="29"/>
  <c r="M67" i="24"/>
  <c r="K173" i="6"/>
  <c r="N99" i="33"/>
  <c r="M56" i="29"/>
  <c r="N73" i="28"/>
  <c r="K128" i="20"/>
  <c r="M31" i="2"/>
  <c r="O80" i="15"/>
  <c r="O108" i="6"/>
  <c r="N14" i="16"/>
  <c r="O183" i="20"/>
  <c r="K162" i="6"/>
  <c r="N56" i="29"/>
  <c r="K11" i="21"/>
  <c r="K147" i="18"/>
  <c r="N107" i="4"/>
  <c r="N89" i="12"/>
  <c r="N57" i="26"/>
  <c r="L101" i="4"/>
  <c r="O88" i="26"/>
  <c r="M183" i="33"/>
  <c r="L43" i="17"/>
  <c r="O50" i="1"/>
  <c r="M67" i="28"/>
  <c r="M166" i="32"/>
  <c r="O173" i="18"/>
  <c r="K122" i="28"/>
  <c r="K65" i="26"/>
  <c r="L184" i="25"/>
  <c r="N111" i="19"/>
  <c r="L21" i="33"/>
  <c r="L61" i="20"/>
  <c r="K18" i="18"/>
  <c r="K65" i="25"/>
  <c r="K183" i="4"/>
  <c r="K130" i="28"/>
  <c r="K36" i="3"/>
  <c r="O148" i="19"/>
  <c r="N171" i="3"/>
  <c r="K24" i="33"/>
  <c r="K128" i="9"/>
  <c r="M28" i="1"/>
  <c r="N120" i="16"/>
  <c r="L139" i="21"/>
  <c r="K184" i="17"/>
  <c r="M61" i="9"/>
  <c r="O170" i="1"/>
  <c r="O79" i="18"/>
  <c r="L6" i="22"/>
  <c r="L123" i="33"/>
  <c r="K8" i="25"/>
  <c r="M82" i="10"/>
  <c r="O36" i="29"/>
  <c r="K82" i="22"/>
  <c r="M121" i="28"/>
  <c r="L127" i="32"/>
  <c r="M19" i="9"/>
  <c r="O91" i="17"/>
  <c r="L29" i="33"/>
  <c r="O28" i="29"/>
  <c r="L173" i="6"/>
  <c r="N176" i="12"/>
  <c r="N59" i="19"/>
  <c r="L158" i="28"/>
  <c r="L6" i="21"/>
  <c r="K33" i="17"/>
  <c r="M39" i="6"/>
  <c r="N20" i="29"/>
  <c r="L157" i="15"/>
  <c r="L18" i="3"/>
  <c r="N126" i="21"/>
  <c r="L8" i="19"/>
  <c r="O66" i="28"/>
  <c r="L84" i="1"/>
  <c r="N121" i="6"/>
  <c r="O6" i="10"/>
  <c r="L75" i="6"/>
  <c r="O23" i="3"/>
  <c r="O159" i="16"/>
  <c r="M73" i="2"/>
  <c r="K134" i="3"/>
  <c r="M166" i="12"/>
  <c r="N147" i="2"/>
  <c r="M179"/>
  <c r="M73" i="27"/>
  <c r="N131" i="25"/>
  <c r="O136" i="19"/>
  <c r="M117" i="31"/>
  <c r="O118" i="9"/>
  <c r="M133" i="15"/>
  <c r="K30" i="26"/>
  <c r="K106" i="24"/>
  <c r="N148" i="27"/>
  <c r="M76" i="15"/>
  <c r="N18" i="27"/>
  <c r="N92" i="28"/>
  <c r="N173" i="11"/>
  <c r="N150" i="25"/>
  <c r="N87" i="18"/>
  <c r="L30" i="27"/>
  <c r="O50" i="2"/>
  <c r="L122"/>
  <c r="O42" i="31"/>
  <c r="N89" i="3"/>
  <c r="N9" i="15"/>
  <c r="L142" i="29"/>
  <c r="N121" i="12"/>
  <c r="O49" i="25"/>
  <c r="M15" i="12"/>
  <c r="M102" i="11"/>
  <c r="N145" i="12"/>
  <c r="N30" i="20"/>
  <c r="K123" i="32"/>
  <c r="O128" i="24"/>
  <c r="O33" i="26"/>
  <c r="N130" i="5"/>
  <c r="L13" i="2"/>
  <c r="O28" i="4"/>
  <c r="N61" i="9"/>
  <c r="N76" i="25"/>
  <c r="O42" i="24"/>
  <c r="O116" i="17"/>
  <c r="N51"/>
  <c r="L34" i="6"/>
  <c r="K183" i="32"/>
  <c r="M116" i="19"/>
  <c r="O44" i="10"/>
  <c r="O184" i="11"/>
  <c r="M75" i="9"/>
  <c r="M21" i="15"/>
  <c r="M66" i="17"/>
  <c r="O97" i="15"/>
  <c r="K30" i="18"/>
  <c r="O130" i="26"/>
  <c r="L47" i="5"/>
  <c r="O116" i="30"/>
  <c r="M66" i="12"/>
  <c r="O4" i="15"/>
  <c r="M74" i="28"/>
  <c r="M129" i="20"/>
  <c r="K126" i="17"/>
  <c r="N86" i="25"/>
  <c r="L63" i="24"/>
  <c r="N66" i="1"/>
  <c r="L95" i="12"/>
  <c r="K139" i="18"/>
  <c r="N64" i="32"/>
  <c r="M163" i="18"/>
  <c r="L120" i="6"/>
  <c r="N127" i="19"/>
  <c r="L78" i="16"/>
  <c r="M182" i="33"/>
  <c r="N100" i="28"/>
  <c r="N145" i="33"/>
  <c r="L115" i="9"/>
  <c r="N88" i="26"/>
  <c r="O115" i="6"/>
  <c r="M99" i="10"/>
  <c r="L86" i="27"/>
  <c r="L102" i="15"/>
  <c r="L143" i="17"/>
  <c r="L97" i="9"/>
  <c r="O9" i="29"/>
  <c r="O141"/>
  <c r="O85" i="2"/>
  <c r="K182" i="26"/>
  <c r="K180" i="18"/>
  <c r="M85" i="25"/>
  <c r="N181" i="31"/>
  <c r="L13" i="27"/>
  <c r="K128" i="21"/>
  <c r="N115" i="12"/>
  <c r="K38" i="6"/>
  <c r="K67" i="16"/>
  <c r="N101" i="21"/>
  <c r="M94" i="25"/>
  <c r="O57" i="23"/>
  <c r="K26" i="10"/>
  <c r="L20"/>
  <c r="K116" i="20"/>
  <c r="N81" i="2"/>
  <c r="M129" i="3"/>
  <c r="K31" i="15"/>
  <c r="L148" i="21"/>
  <c r="L84" i="9"/>
  <c r="M145" i="3"/>
  <c r="M57" i="15"/>
  <c r="O51" i="2"/>
  <c r="O162" i="30"/>
  <c r="N97" i="17"/>
  <c r="O66" i="1"/>
  <c r="O131" i="18"/>
  <c r="O58" i="25"/>
  <c r="M163" i="15"/>
  <c r="N153" i="6"/>
  <c r="L147" i="17"/>
  <c r="K3"/>
  <c r="M115" i="4"/>
  <c r="M157" i="23"/>
  <c r="K95" i="4"/>
  <c r="N39" i="33"/>
  <c r="M173" i="18"/>
  <c r="L163" i="33"/>
  <c r="M54" i="6"/>
  <c r="L75" i="33"/>
  <c r="L58" i="21"/>
  <c r="K99" i="32"/>
  <c r="K157" i="6"/>
  <c r="K67" i="28"/>
  <c r="M131" i="23"/>
  <c r="M117" i="26"/>
  <c r="O5" i="18"/>
  <c r="K137" i="3"/>
  <c r="M80" i="32"/>
  <c r="K173" i="9"/>
  <c r="M168" i="23"/>
  <c r="L142" i="20"/>
  <c r="O143" i="26"/>
  <c r="N76" i="4"/>
  <c r="L106" i="33"/>
  <c r="L174" i="28"/>
  <c r="K61" i="3"/>
  <c r="N158" i="25"/>
  <c r="L30" i="6"/>
  <c r="K44" i="10"/>
  <c r="L181" i="2"/>
  <c r="O140" i="26"/>
  <c r="L28" i="29"/>
  <c r="O13" i="28"/>
  <c r="O86" i="25"/>
  <c r="K24" i="23"/>
  <c r="K95" i="24"/>
  <c r="L127" i="31"/>
  <c r="M168" i="16"/>
  <c r="O86" i="18"/>
  <c r="L73" i="20"/>
  <c r="M174" i="28"/>
  <c r="N97" i="12"/>
  <c r="O26" i="3"/>
  <c r="N170" i="5"/>
  <c r="M25" i="23"/>
  <c r="N47" i="30"/>
  <c r="L53" i="21"/>
  <c r="K149" i="27"/>
  <c r="K119" i="20"/>
  <c r="L166" i="25"/>
  <c r="N147" i="12"/>
  <c r="O39" i="24"/>
  <c r="K119" i="4"/>
  <c r="K135" i="2"/>
  <c r="K30" i="20"/>
  <c r="K87" i="32"/>
  <c r="L132" i="33"/>
  <c r="L13" i="30"/>
  <c r="L30" i="5"/>
  <c r="K182" i="1"/>
  <c r="N100" i="16"/>
  <c r="N145" i="23"/>
  <c r="K154" i="27"/>
  <c r="L84" i="25"/>
  <c r="N20" i="5"/>
  <c r="N170" i="30"/>
  <c r="N73" i="6"/>
  <c r="L101"/>
  <c r="N18" i="19"/>
  <c r="K15" i="22"/>
  <c r="O4" i="3"/>
  <c r="L89" i="2"/>
  <c r="N180" i="31"/>
  <c r="M58"/>
  <c r="N5" i="12"/>
  <c r="M102" i="20"/>
  <c r="L86" i="21"/>
  <c r="K86" i="26"/>
  <c r="O15" i="21"/>
  <c r="L136" i="20"/>
  <c r="O151" i="4"/>
  <c r="N165" i="21"/>
  <c r="O171" i="11"/>
  <c r="M153" i="10"/>
  <c r="O148" i="16"/>
  <c r="O157"/>
  <c r="K167" i="9"/>
  <c r="L101" i="5"/>
  <c r="N169" i="19"/>
  <c r="N81" i="25"/>
  <c r="K100" i="22"/>
  <c r="L127" i="3"/>
  <c r="N144" i="26"/>
  <c r="O129" i="4"/>
  <c r="K78"/>
  <c r="K111" i="1"/>
  <c r="L86" i="24"/>
  <c r="N84" i="19"/>
  <c r="L80" i="9"/>
  <c r="L180" i="6"/>
  <c r="M33" i="24"/>
  <c r="K35" i="6"/>
  <c r="M75" i="31"/>
  <c r="K40" i="20"/>
  <c r="K115" i="5"/>
  <c r="K16" i="15"/>
  <c r="L157" i="28"/>
  <c r="N169" i="29"/>
  <c r="L163" i="32"/>
  <c r="N176" i="16"/>
  <c r="N77" i="31"/>
  <c r="L79" i="12"/>
  <c r="K54" i="3"/>
  <c r="K126" i="32"/>
  <c r="M52" i="6"/>
  <c r="N119" i="3"/>
  <c r="M47" i="16"/>
  <c r="N79" i="6"/>
  <c r="M89" i="3"/>
  <c r="L125" i="4"/>
  <c r="M86" i="22"/>
  <c r="N43" i="27"/>
  <c r="K58" i="15"/>
  <c r="K73" i="20"/>
  <c r="K177" i="9"/>
  <c r="L64" i="23"/>
  <c r="N71" i="33"/>
  <c r="K52" i="32"/>
  <c r="M171" i="26"/>
  <c r="O47" i="20"/>
  <c r="K119" i="6"/>
  <c r="O183"/>
  <c r="N132" i="25"/>
  <c r="N66" i="32"/>
  <c r="O131" i="2"/>
  <c r="N150" i="24"/>
  <c r="M141" i="17"/>
  <c r="L99" i="19"/>
  <c r="L93" i="12"/>
  <c r="L135" i="9"/>
  <c r="K185" i="20"/>
  <c r="N67" i="5"/>
  <c r="M141" i="16"/>
  <c r="O123" i="18"/>
  <c r="O85" i="20"/>
  <c r="O170" i="10"/>
  <c r="O112" i="29"/>
  <c r="N84" i="6"/>
  <c r="M166" i="3"/>
  <c r="N148" i="26"/>
  <c r="K96" i="18"/>
  <c r="O9" i="2"/>
  <c r="O143" i="16"/>
  <c r="O134" i="11"/>
  <c r="N108" i="16"/>
  <c r="L185" i="1"/>
  <c r="K130" i="33"/>
  <c r="M65" i="26"/>
  <c r="O160" i="18"/>
  <c r="L21" i="19"/>
  <c r="O66"/>
  <c r="L179" i="16"/>
  <c r="L38" i="6"/>
  <c r="K151" i="15"/>
  <c r="M45" i="27"/>
  <c r="K132" i="16"/>
  <c r="K179" i="28"/>
  <c r="K34" i="18"/>
  <c r="O127" i="15"/>
  <c r="L113" i="1"/>
  <c r="O76" i="16"/>
  <c r="L128" i="30"/>
  <c r="M168" i="28"/>
  <c r="L10" i="19"/>
  <c r="K131" i="22"/>
  <c r="N79" i="3"/>
  <c r="N71" i="1"/>
  <c r="O6" i="22"/>
  <c r="O30" i="16"/>
  <c r="K165" i="19"/>
  <c r="N173" i="3"/>
  <c r="O179" i="16"/>
  <c r="K136" i="4"/>
  <c r="N113" i="2"/>
  <c r="O107"/>
  <c r="N76"/>
  <c r="K159" i="30"/>
  <c r="N85" i="25"/>
  <c r="N147" i="24"/>
  <c r="M122" i="26"/>
  <c r="O128" i="30"/>
  <c r="K129" i="29"/>
  <c r="O146" i="33"/>
  <c r="K5" i="26"/>
  <c r="N167" i="17"/>
  <c r="L153" i="11"/>
  <c r="K148" i="24"/>
  <c r="K28" i="2"/>
  <c r="K5" i="28"/>
  <c r="M173" i="33"/>
  <c r="N140" i="29"/>
  <c r="K65" i="12"/>
  <c r="N127" i="27"/>
  <c r="L160" i="25"/>
  <c r="N84" i="17"/>
  <c r="M152" i="22"/>
  <c r="L29" i="30"/>
  <c r="N114" i="6"/>
  <c r="L43" i="23"/>
  <c r="K134" i="9"/>
  <c r="N31" i="19"/>
  <c r="M100" i="31"/>
  <c r="O23" i="29"/>
  <c r="L118" i="9"/>
  <c r="N117" i="2"/>
  <c r="L58" i="4"/>
  <c r="N38" i="29"/>
  <c r="L99" i="32"/>
  <c r="K21" i="15"/>
  <c r="K153" i="12"/>
  <c r="O167" i="20"/>
  <c r="L170" i="3"/>
  <c r="M56" i="9"/>
  <c r="L100" i="22"/>
  <c r="K146" i="1"/>
  <c r="O130" i="19"/>
  <c r="O82" i="29"/>
  <c r="L100" i="23"/>
  <c r="K26" i="22"/>
  <c r="O114"/>
  <c r="M75" i="19"/>
  <c r="M88" i="5"/>
  <c r="K42" i="11"/>
  <c r="O102" i="32"/>
  <c r="N140" i="27"/>
  <c r="M97" i="17"/>
  <c r="N149" i="26"/>
  <c r="M87" i="6"/>
  <c r="N179" i="3"/>
  <c r="O134" i="32"/>
  <c r="L161" i="17"/>
  <c r="L142" i="12"/>
  <c r="K160" i="4"/>
  <c r="K127" i="5"/>
  <c r="K8" i="21"/>
  <c r="O26" i="2"/>
  <c r="K174" i="22"/>
  <c r="L43" i="20"/>
  <c r="O110" i="1"/>
  <c r="O88" i="12"/>
  <c r="O145" i="31"/>
  <c r="O183" i="32"/>
  <c r="M76" i="21"/>
  <c r="K57" i="16"/>
  <c r="K60" i="33"/>
  <c r="O88" i="27"/>
  <c r="L133" i="15"/>
  <c r="N45" i="33"/>
  <c r="K153" i="18"/>
  <c r="N95" i="10"/>
  <c r="L130" i="1"/>
  <c r="M33" i="31"/>
  <c r="O121" i="28"/>
  <c r="M109" i="1"/>
  <c r="L31" i="4"/>
  <c r="N21" i="6"/>
  <c r="L38" i="3"/>
  <c r="M115" i="32"/>
  <c r="K179" i="25"/>
  <c r="L76" i="23"/>
  <c r="M53" i="15"/>
  <c r="K179" i="11"/>
  <c r="O154" i="1"/>
  <c r="O14" i="25"/>
  <c r="K171" i="33"/>
  <c r="M82" i="3"/>
  <c r="M94" i="33"/>
  <c r="K37" i="20"/>
  <c r="K24" i="22"/>
  <c r="L132" i="25"/>
  <c r="L21" i="26"/>
  <c r="N46" i="16"/>
  <c r="N100" i="9"/>
  <c r="K77" i="5"/>
  <c r="K153" i="28"/>
  <c r="K38" i="24"/>
  <c r="O147" i="10"/>
  <c r="L171" i="1"/>
  <c r="O36" i="6"/>
  <c r="O96"/>
  <c r="L134" i="11"/>
  <c r="O20" i="24"/>
  <c r="K67" i="1"/>
  <c r="M26" i="5"/>
  <c r="N49" i="26"/>
  <c r="N6" i="28"/>
  <c r="M8" i="29"/>
  <c r="M85" i="16"/>
  <c r="M96"/>
  <c r="O38" i="22"/>
  <c r="L108" i="5"/>
  <c r="M8" i="27"/>
  <c r="O72" i="15"/>
  <c r="M123" i="5"/>
  <c r="O137" i="17"/>
  <c r="K71" i="11"/>
  <c r="M145" i="17"/>
  <c r="N142" i="15"/>
  <c r="N23" i="12"/>
  <c r="K133" i="30"/>
  <c r="M5" i="31"/>
  <c r="K119" i="2"/>
  <c r="N184" i="24"/>
  <c r="M134" i="32"/>
  <c r="N137" i="31"/>
  <c r="O110" i="26"/>
  <c r="L173" i="18"/>
  <c r="N16" i="15"/>
  <c r="O64" i="9"/>
  <c r="N176" i="2"/>
  <c r="N114" i="33"/>
  <c r="O169" i="9"/>
  <c r="O121" i="32"/>
  <c r="L25" i="24"/>
  <c r="M30" i="3"/>
  <c r="M149" i="2"/>
  <c r="O74" i="21"/>
  <c r="O6" i="24"/>
  <c r="N75" i="19"/>
  <c r="O9" i="12"/>
  <c r="L88" i="9"/>
  <c r="L35" i="17"/>
  <c r="O93" i="26"/>
  <c r="N86" i="23"/>
  <c r="K85"/>
  <c r="O64" i="25"/>
  <c r="O117" i="21"/>
  <c r="N160" i="1"/>
  <c r="L178" i="26"/>
  <c r="K51" i="3"/>
  <c r="N129" i="26"/>
  <c r="O171" i="4"/>
  <c r="N50" i="15"/>
  <c r="L94" i="3"/>
  <c r="O133" i="15"/>
  <c r="M136" i="33"/>
  <c r="K169" i="4"/>
  <c r="O141" i="18"/>
  <c r="N43" i="19"/>
  <c r="K73" i="5"/>
  <c r="M58" i="20"/>
  <c r="N180" i="28"/>
  <c r="L92" i="11"/>
  <c r="O69" i="4"/>
  <c r="L165" i="5"/>
  <c r="N100" i="20"/>
  <c r="N61" i="23"/>
  <c r="M167" i="5"/>
  <c r="L65" i="12"/>
  <c r="N52" i="21"/>
  <c r="O160" i="22"/>
  <c r="K77" i="15"/>
  <c r="M167" i="22"/>
  <c r="L79" i="4"/>
  <c r="K36" i="27"/>
  <c r="K72" i="11"/>
  <c r="L30" i="29"/>
  <c r="M46" i="10"/>
  <c r="K170" i="31"/>
  <c r="K120" i="15"/>
  <c r="M129"/>
  <c r="L56" i="12"/>
  <c r="N154" i="20"/>
  <c r="O53" i="25"/>
  <c r="L150" i="9"/>
  <c r="L78" i="18"/>
  <c r="K161" i="12"/>
  <c r="L150" i="27"/>
  <c r="M148" i="12"/>
  <c r="L91" i="26"/>
  <c r="O127" i="12"/>
  <c r="O170" i="3"/>
  <c r="N40" i="25"/>
  <c r="L18" i="29"/>
  <c r="L31" i="16"/>
  <c r="N162" i="29"/>
  <c r="N79" i="31"/>
  <c r="O165" i="19"/>
  <c r="K47" i="33"/>
  <c r="K68" i="1"/>
  <c r="N49" i="11"/>
  <c r="K129" i="30"/>
  <c r="N77" i="16"/>
  <c r="L98" i="6"/>
  <c r="O88" i="9"/>
  <c r="O121" i="29"/>
  <c r="O100" i="11"/>
  <c r="N146" i="6"/>
  <c r="K72" i="32"/>
  <c r="L168" i="18"/>
  <c r="K28" i="23"/>
  <c r="L107" i="17"/>
  <c r="L71" i="25"/>
  <c r="K110" i="10"/>
  <c r="L44" i="26"/>
  <c r="M159" i="2"/>
  <c r="K165" i="20"/>
  <c r="M24" i="32"/>
  <c r="L26" i="15"/>
  <c r="K112" i="21"/>
  <c r="O46" i="2"/>
  <c r="O181" i="22"/>
  <c r="O58" i="1"/>
  <c r="M158" i="3"/>
  <c r="N115" i="2"/>
  <c r="L15" i="1"/>
  <c r="N79" i="27"/>
  <c r="L113" i="3"/>
  <c r="M91" i="23"/>
  <c r="N92"/>
  <c r="O44"/>
  <c r="L97" i="19"/>
  <c r="N106" i="31"/>
  <c r="L169" i="5"/>
  <c r="L33" i="6"/>
  <c r="K165" i="22"/>
  <c r="N60" i="25"/>
  <c r="L72" i="31"/>
  <c r="O178" i="27"/>
  <c r="N46" i="18"/>
  <c r="N24" i="32"/>
  <c r="O112" i="24"/>
  <c r="N185" i="32"/>
  <c r="O185" i="22"/>
  <c r="M146" i="12"/>
  <c r="N117" i="6"/>
  <c r="L46" i="10"/>
  <c r="O94" i="12"/>
  <c r="L52" i="24"/>
  <c r="O92" i="19"/>
  <c r="N116" i="4"/>
  <c r="L9" i="31"/>
  <c r="L86" i="19"/>
  <c r="N21"/>
  <c r="N152" i="1"/>
  <c r="M63" i="29"/>
  <c r="L15" i="31"/>
  <c r="K148"/>
  <c r="O86" i="3"/>
  <c r="M64"/>
  <c r="M153" i="6"/>
  <c r="M64" i="19"/>
  <c r="K145" i="1"/>
  <c r="N82" i="4"/>
  <c r="L91" i="9"/>
  <c r="O91" i="28"/>
  <c r="L39" i="5"/>
  <c r="O9" i="27"/>
  <c r="O148" i="5"/>
  <c r="N130" i="20"/>
  <c r="K131" i="32"/>
  <c r="L60"/>
  <c r="M116" i="1"/>
  <c r="M40" i="33"/>
  <c r="L84" i="15"/>
  <c r="M43" i="29"/>
  <c r="O181" i="9"/>
  <c r="K100" i="26"/>
  <c r="M5" i="32"/>
  <c r="L116" i="17"/>
  <c r="M9" i="27"/>
  <c r="N131" i="32"/>
  <c r="O184" i="10"/>
  <c r="K85" i="11"/>
  <c r="L122" i="17"/>
  <c r="M99" i="15"/>
  <c r="M89" i="20"/>
  <c r="M98" i="25"/>
  <c r="O59" i="5"/>
  <c r="M182" i="21"/>
  <c r="O10" i="3"/>
  <c r="K76" i="27"/>
  <c r="L183" i="16"/>
  <c r="M96" i="19"/>
  <c r="L51" i="33"/>
  <c r="O23" i="2"/>
  <c r="O34" i="6"/>
  <c r="M152" i="1"/>
  <c r="O42" i="10"/>
  <c r="N19" i="24"/>
  <c r="K102" i="10"/>
  <c r="N60" i="12"/>
  <c r="M82" i="15"/>
  <c r="L59" i="29"/>
  <c r="K147" i="32"/>
  <c r="M100" i="27"/>
  <c r="K137" i="32"/>
  <c r="O42"/>
  <c r="M39" i="31"/>
  <c r="L5" i="25"/>
  <c r="M77" i="11"/>
  <c r="N112" i="33"/>
  <c r="L77" i="17"/>
  <c r="N145" i="9"/>
  <c r="L64" i="3"/>
  <c r="O161" i="4"/>
  <c r="K171" i="17"/>
  <c r="O6" i="18"/>
  <c r="M67" i="4"/>
  <c r="K112" i="15"/>
  <c r="O18" i="6"/>
  <c r="L72" i="22"/>
  <c r="N147" i="5"/>
  <c r="N125" i="2"/>
  <c r="N109" i="12"/>
  <c r="O93" i="33"/>
  <c r="N80" i="10"/>
  <c r="K97" i="27"/>
  <c r="O50" i="23"/>
  <c r="M135" i="17"/>
  <c r="N91" i="10"/>
  <c r="N144" i="15"/>
  <c r="N30" i="3"/>
  <c r="O177" i="18"/>
  <c r="K84" i="5"/>
  <c r="O84" i="6"/>
  <c r="K75" i="10"/>
  <c r="N122" i="6"/>
  <c r="M38" i="23"/>
  <c r="K143" i="17"/>
  <c r="M50" i="29"/>
  <c r="M75" i="21"/>
  <c r="M163" i="2"/>
  <c r="M34" i="33"/>
  <c r="K61" i="23"/>
  <c r="O18" i="9"/>
  <c r="M50" i="19"/>
  <c r="M58" i="17"/>
  <c r="K128" i="23"/>
  <c r="L69" i="9"/>
  <c r="N25" i="17"/>
  <c r="N166" i="5"/>
  <c r="N38" i="30"/>
  <c r="K85" i="31"/>
  <c r="M131" i="5"/>
  <c r="K3" i="22"/>
  <c r="O141" i="11"/>
  <c r="K110" i="30"/>
  <c r="N58" i="9"/>
  <c r="M142" i="10"/>
  <c r="N29" i="1"/>
  <c r="K115" i="19"/>
  <c r="O14" i="3"/>
  <c r="M146" i="19"/>
  <c r="O14" i="23"/>
  <c r="L87" i="5"/>
  <c r="O125" i="32"/>
  <c r="K176" i="23"/>
  <c r="N132" i="22"/>
  <c r="N21" i="26"/>
  <c r="N174" i="32"/>
  <c r="L89" i="11"/>
  <c r="N107" i="10"/>
  <c r="L182" i="30"/>
  <c r="O35" i="2"/>
  <c r="O133" i="32"/>
  <c r="N10" i="3"/>
  <c r="N120" i="33"/>
  <c r="O135" i="26"/>
  <c r="O135" i="30"/>
  <c r="N69" i="33"/>
  <c r="L86" i="15"/>
  <c r="N13" i="26"/>
  <c r="N149" i="33"/>
  <c r="N81" i="3"/>
  <c r="L97" i="15"/>
  <c r="K24" i="21"/>
  <c r="N133" i="2"/>
  <c r="N153" i="10"/>
  <c r="M89" i="4"/>
  <c r="L93" i="32"/>
  <c r="M11" i="6"/>
  <c r="K155" i="11"/>
  <c r="L113" i="21"/>
  <c r="N113" i="18"/>
  <c r="L113" i="30"/>
  <c r="M146" i="32"/>
  <c r="K54" i="33"/>
  <c r="N157"/>
  <c r="M130" i="20"/>
  <c r="N34" i="33"/>
  <c r="L53" i="19"/>
  <c r="K74" i="2"/>
  <c r="K109" i="4"/>
  <c r="L95" i="19"/>
  <c r="O112" i="6"/>
  <c r="M31" i="27"/>
  <c r="N95" i="21"/>
  <c r="N134" i="18"/>
  <c r="N171" i="33"/>
  <c r="M167" i="3"/>
  <c r="N134" i="1"/>
  <c r="N161" i="6"/>
  <c r="K35" i="30"/>
  <c r="M150" i="6"/>
  <c r="M179" i="29"/>
  <c r="K24" i="31"/>
  <c r="M122" i="10"/>
  <c r="M147" i="30"/>
  <c r="K155" i="22"/>
  <c r="K69" i="29"/>
  <c r="O135" i="33"/>
  <c r="K42" i="16"/>
  <c r="L23" i="32"/>
  <c r="L89" i="25"/>
  <c r="N6" i="22"/>
  <c r="L139" i="12"/>
  <c r="N149" i="23"/>
  <c r="M82" i="30"/>
  <c r="L153" i="5"/>
  <c r="K34"/>
  <c r="K49" i="6"/>
  <c r="M132" i="1"/>
  <c r="M79" i="17"/>
  <c r="K145" i="16"/>
  <c r="N140" i="33"/>
  <c r="O54" i="10"/>
  <c r="M139" i="1"/>
  <c r="O172" i="6"/>
  <c r="M107" i="11"/>
  <c r="N29" i="27"/>
  <c r="L97" i="32"/>
  <c r="N98" i="1"/>
  <c r="M128" i="27"/>
  <c r="M118" i="33"/>
  <c r="L120" i="20"/>
  <c r="K73" i="18"/>
  <c r="M91" i="30"/>
  <c r="L180" i="22"/>
  <c r="N132" i="23"/>
  <c r="L86" i="20"/>
  <c r="L80" i="19"/>
  <c r="N10"/>
  <c r="L93" i="4"/>
  <c r="K148" i="9"/>
  <c r="M66" i="22"/>
  <c r="L122" i="30"/>
  <c r="K91" i="31"/>
  <c r="N24" i="25"/>
  <c r="K131" i="1"/>
  <c r="L121" i="27"/>
  <c r="K108" i="32"/>
  <c r="O16" i="6"/>
  <c r="M35" i="24"/>
  <c r="N39" i="22"/>
  <c r="N149" i="3"/>
  <c r="L145" i="28"/>
  <c r="N63" i="16"/>
  <c r="L185" i="20"/>
  <c r="O56" i="29"/>
  <c r="O13" i="15"/>
  <c r="M11" i="21"/>
  <c r="O93" i="1"/>
  <c r="M10" i="6"/>
  <c r="N139" i="5"/>
  <c r="O178" i="11"/>
  <c r="L21" i="27"/>
  <c r="K94" i="6"/>
  <c r="O178" i="12"/>
  <c r="M107" i="15"/>
  <c r="M120" i="12"/>
  <c r="O157" i="27"/>
  <c r="K108" i="29"/>
  <c r="N123" i="1"/>
  <c r="N52" i="19"/>
  <c r="N99"/>
  <c r="K102" i="1"/>
  <c r="L87"/>
  <c r="K145" i="5"/>
  <c r="K34" i="25"/>
  <c r="N74" i="18"/>
  <c r="O86" i="15"/>
  <c r="N59" i="1"/>
  <c r="M185" i="11"/>
  <c r="L15" i="24"/>
  <c r="N120" i="18"/>
  <c r="M8" i="15"/>
  <c r="M33" i="1"/>
  <c r="N44" i="15"/>
  <c r="M102" i="27"/>
  <c r="K34" i="22"/>
  <c r="L169" i="4"/>
  <c r="M183" i="11"/>
  <c r="K66" i="26"/>
  <c r="M162" i="30"/>
  <c r="N64" i="20"/>
  <c r="N119" i="31"/>
  <c r="L169" i="22"/>
  <c r="N73" i="24"/>
  <c r="N25" i="15"/>
  <c r="M168" i="22"/>
  <c r="N93" i="21"/>
  <c r="L125" i="22"/>
  <c r="N64" i="16"/>
  <c r="K39" i="32"/>
  <c r="N38" i="4"/>
  <c r="K107" i="24"/>
  <c r="O96" i="12"/>
  <c r="K53" i="2"/>
  <c r="K146" i="21"/>
  <c r="L95" i="29"/>
  <c r="M91" i="1"/>
  <c r="L182" i="21"/>
  <c r="N35" i="15"/>
  <c r="N136" i="21"/>
  <c r="M182" i="24"/>
  <c r="M15" i="26"/>
  <c r="M108" i="33"/>
  <c r="O165" i="20"/>
  <c r="M58" i="26"/>
  <c r="L78" i="25"/>
  <c r="O165" i="12"/>
  <c r="N3" i="4"/>
  <c r="K84" i="20"/>
  <c r="L129" i="28"/>
  <c r="L149" i="4"/>
  <c r="M40" i="24"/>
  <c r="N67" i="27"/>
  <c r="M68" i="25"/>
  <c r="N131" i="12"/>
  <c r="M69" i="16"/>
  <c r="N91" i="9"/>
  <c r="N177" i="21"/>
  <c r="M16" i="2"/>
  <c r="L28" i="18"/>
  <c r="L100" i="28"/>
  <c r="O59" i="24"/>
  <c r="M5" i="6"/>
  <c r="O94"/>
  <c r="M69" i="21"/>
  <c r="N146" i="1"/>
  <c r="L165" i="16"/>
  <c r="M87" i="29"/>
  <c r="N13" i="12"/>
  <c r="O109" i="20"/>
  <c r="M128" i="10"/>
  <c r="N67" i="20"/>
  <c r="M38" i="25"/>
  <c r="K146" i="5"/>
  <c r="M182" i="12"/>
  <c r="N119" i="18"/>
  <c r="O11" i="17"/>
  <c r="N91" i="26"/>
  <c r="L128"/>
  <c r="N13" i="20"/>
  <c r="K45" i="21"/>
  <c r="N24" i="1"/>
  <c r="N76" i="6"/>
  <c r="L44" i="18"/>
  <c r="M38" i="20"/>
  <c r="O137" i="16"/>
  <c r="K108" i="6"/>
  <c r="N181" i="3"/>
  <c r="N141" i="10"/>
  <c r="M88" i="1"/>
  <c r="M137" i="26"/>
  <c r="O61" i="33"/>
  <c r="L131" i="20"/>
  <c r="L126" i="10"/>
  <c r="M122" i="17"/>
  <c r="O177" i="21"/>
  <c r="N49" i="25"/>
  <c r="O158" i="12"/>
  <c r="N49" i="23"/>
  <c r="O137" i="12"/>
  <c r="L141" i="2"/>
  <c r="O72" i="11"/>
  <c r="M97" i="2"/>
  <c r="O34" i="26"/>
  <c r="O184" i="23"/>
  <c r="L102" i="33"/>
  <c r="K161" i="18"/>
  <c r="O87" i="29"/>
  <c r="L28" i="17"/>
  <c r="K14" i="11"/>
  <c r="M109" i="32"/>
  <c r="O19" i="16"/>
  <c r="O19" i="25"/>
  <c r="O173" i="19"/>
  <c r="L145" i="9"/>
  <c r="K149" i="6"/>
  <c r="O13" i="33"/>
  <c r="L28" i="31"/>
  <c r="L72" i="26"/>
  <c r="N87" i="4"/>
  <c r="K96" i="31"/>
  <c r="O52" i="29"/>
  <c r="L47" i="12"/>
  <c r="O50" i="15"/>
  <c r="O134" i="2"/>
  <c r="O180" i="18"/>
  <c r="N137" i="24"/>
  <c r="M35" i="2"/>
  <c r="K153" i="4"/>
  <c r="K150" i="11"/>
  <c r="K170" i="20"/>
  <c r="M102" i="29"/>
  <c r="N67" i="24"/>
  <c r="N88" i="9"/>
  <c r="M132" i="20"/>
  <c r="M16" i="29"/>
  <c r="O43" i="31"/>
  <c r="O134" i="28"/>
  <c r="L136" i="25"/>
  <c r="O149" i="31"/>
  <c r="N24" i="22"/>
  <c r="K107" i="27"/>
  <c r="N5" i="5"/>
  <c r="M114" i="28"/>
  <c r="K169" i="30"/>
  <c r="O33" i="33"/>
  <c r="K66" i="32"/>
  <c r="L137" i="5"/>
  <c r="M184" i="6"/>
  <c r="K38" i="23"/>
  <c r="N29" i="29"/>
  <c r="N185" i="11"/>
  <c r="K72" i="19"/>
  <c r="L171" i="5"/>
  <c r="K151" i="12"/>
  <c r="M52" i="3"/>
  <c r="L169" i="11"/>
  <c r="O173" i="27"/>
  <c r="L172" i="18"/>
  <c r="M56" i="23"/>
  <c r="O89" i="15"/>
  <c r="O95" i="9"/>
  <c r="L8" i="23"/>
  <c r="M112" i="18"/>
  <c r="O130" i="3"/>
  <c r="K15" i="15"/>
  <c r="N21" i="29"/>
  <c r="O132" i="4"/>
  <c r="L94" i="2"/>
  <c r="O56" i="3"/>
  <c r="O16" i="12"/>
  <c r="O52" i="1"/>
  <c r="O133" i="24"/>
  <c r="M21" i="6"/>
  <c r="N24" i="10"/>
  <c r="L161" i="12"/>
  <c r="N120" i="24"/>
  <c r="K123" i="29"/>
  <c r="M39" i="1"/>
  <c r="N9" i="31"/>
  <c r="M31" i="16"/>
  <c r="O135" i="5"/>
  <c r="M47" i="17"/>
  <c r="K147" i="20"/>
  <c r="O122" i="10"/>
  <c r="L112" i="18"/>
  <c r="M60" i="26"/>
  <c r="M109" i="30"/>
  <c r="O162" i="21"/>
  <c r="O148" i="31"/>
  <c r="K82" i="20"/>
  <c r="N8" i="22"/>
  <c r="K155" i="24"/>
  <c r="M139" i="31"/>
  <c r="N183" i="9"/>
  <c r="O67" i="25"/>
  <c r="N6"/>
  <c r="M94" i="22"/>
  <c r="O4" i="29"/>
  <c r="K84" i="23"/>
  <c r="N13" i="10"/>
  <c r="L76" i="11"/>
  <c r="O54" i="24"/>
  <c r="O28" i="30"/>
  <c r="L133" i="28"/>
  <c r="N183" i="20"/>
  <c r="O107" i="26"/>
  <c r="N89" i="15"/>
  <c r="M75" i="3"/>
  <c r="O126" i="16"/>
  <c r="O25" i="19"/>
  <c r="M88" i="12"/>
  <c r="N158" i="22"/>
  <c r="N93" i="31"/>
  <c r="L112" i="24"/>
  <c r="O168" i="11"/>
  <c r="L174" i="30"/>
  <c r="L69" i="26"/>
  <c r="O69" i="28"/>
  <c r="M21" i="29"/>
  <c r="M141" i="2"/>
  <c r="K5" i="27"/>
  <c r="O61" i="15"/>
  <c r="N118" i="21"/>
  <c r="K40" i="1"/>
  <c r="O46" i="18"/>
  <c r="K4" i="5"/>
  <c r="K75" i="29"/>
  <c r="L136" i="21"/>
  <c r="K171" i="12"/>
  <c r="M18" i="2"/>
  <c r="N121" i="24"/>
  <c r="M116" i="23"/>
  <c r="L143" i="27"/>
  <c r="K61" i="29"/>
  <c r="K79" i="3"/>
  <c r="K112" i="19"/>
  <c r="O57" i="12"/>
  <c r="M88" i="24"/>
  <c r="N92" i="11"/>
  <c r="K179" i="22"/>
  <c r="L126"/>
  <c r="M84" i="19"/>
  <c r="N158" i="4"/>
  <c r="N46" i="10"/>
  <c r="N107" i="19"/>
  <c r="O183" i="18"/>
  <c r="M24" i="3"/>
  <c r="K34" i="30"/>
  <c r="O153" i="21"/>
  <c r="M115" i="16"/>
  <c r="L120" i="25"/>
  <c r="K31" i="20"/>
  <c r="N58" i="21"/>
  <c r="K56" i="12"/>
  <c r="L96" i="18"/>
  <c r="M29" i="5"/>
  <c r="K171" i="22"/>
  <c r="K147" i="1"/>
  <c r="L177" i="24"/>
  <c r="N151" i="2"/>
  <c r="L141" i="23"/>
  <c r="N147" i="3"/>
  <c r="N80" i="24"/>
  <c r="M112"/>
  <c r="L153" i="23"/>
  <c r="O77" i="19"/>
  <c r="M86" i="33"/>
  <c r="K47" i="11"/>
  <c r="L144" i="17"/>
  <c r="L127"/>
  <c r="O77" i="26"/>
  <c r="O79" i="16"/>
  <c r="N96" i="6"/>
  <c r="K36" i="33"/>
  <c r="M79" i="2"/>
  <c r="M26" i="3"/>
  <c r="M23" i="18"/>
  <c r="O40" i="25"/>
  <c r="N29" i="2"/>
  <c r="M11" i="26"/>
  <c r="M176" i="10"/>
  <c r="M120" i="22"/>
  <c r="K167" i="18"/>
  <c r="N135" i="29"/>
  <c r="O141" i="5"/>
  <c r="O113" i="18"/>
  <c r="M45" i="12"/>
  <c r="L125"/>
  <c r="K30" i="2"/>
  <c r="N39" i="31"/>
  <c r="N82" i="28"/>
  <c r="N77" i="12"/>
  <c r="M99" i="1"/>
  <c r="O56" i="19"/>
  <c r="N24" i="29"/>
  <c r="K122" i="31"/>
  <c r="N29" i="5"/>
  <c r="L180" i="32"/>
  <c r="L94" i="24"/>
  <c r="K29" i="29"/>
  <c r="M87" i="12"/>
  <c r="L33" i="25"/>
  <c r="K15" i="24"/>
  <c r="L166" i="27"/>
  <c r="L68" i="12"/>
  <c r="K184" i="10"/>
  <c r="N167" i="2"/>
  <c r="O117" i="33"/>
  <c r="O161" i="11"/>
  <c r="L57" i="25"/>
  <c r="N131" i="9"/>
  <c r="O69" i="24"/>
  <c r="L65" i="2"/>
  <c r="L18" i="25"/>
  <c r="L74" i="19"/>
  <c r="N82" i="3"/>
  <c r="O160" i="12"/>
  <c r="N5" i="2"/>
  <c r="K79" i="21"/>
  <c r="O93" i="12"/>
  <c r="O185"/>
  <c r="M81" i="21"/>
  <c r="K67"/>
  <c r="O184" i="25"/>
  <c r="O158" i="30"/>
  <c r="M139" i="18"/>
  <c r="N86" i="10"/>
  <c r="N65" i="25"/>
  <c r="K34" i="1"/>
  <c r="K140" i="17"/>
  <c r="L45" i="12"/>
  <c r="K4" i="25"/>
  <c r="O181" i="18"/>
  <c r="O34" i="5"/>
  <c r="L122" i="1"/>
  <c r="O131" i="11"/>
  <c r="O33" i="27"/>
  <c r="O146" i="19"/>
  <c r="N77" i="10"/>
  <c r="K152" i="16"/>
  <c r="N166" i="11"/>
  <c r="L100" i="20"/>
  <c r="M82" i="28"/>
  <c r="O56" i="26"/>
  <c r="L28" i="19"/>
  <c r="N43" i="3"/>
  <c r="K42"/>
  <c r="O146" i="18"/>
  <c r="O73" i="6"/>
  <c r="O122" i="15"/>
  <c r="N141" i="21"/>
  <c r="O132" i="5"/>
  <c r="N165" i="1"/>
  <c r="K38" i="3"/>
  <c r="O137" i="11"/>
  <c r="N28" i="21"/>
  <c r="K46" i="23"/>
  <c r="N168" i="18"/>
  <c r="L78" i="11"/>
  <c r="N56" i="26"/>
  <c r="N170" i="20"/>
  <c r="K95" i="30"/>
  <c r="L130"/>
  <c r="N89" i="22"/>
  <c r="O50"/>
  <c r="O178" i="28"/>
  <c r="K66" i="9"/>
  <c r="M34" i="11"/>
  <c r="O108" i="21"/>
  <c r="M75" i="2"/>
  <c r="O98" i="25"/>
  <c r="N155" i="21"/>
  <c r="L21" i="18"/>
  <c r="L137" i="29"/>
  <c r="O148" i="10"/>
  <c r="N181" i="21"/>
  <c r="N59" i="26"/>
  <c r="L171" i="3"/>
  <c r="M167" i="4"/>
  <c r="N15" i="27"/>
  <c r="O148" i="3"/>
  <c r="M24" i="29"/>
  <c r="M78" i="26"/>
  <c r="O121" i="31"/>
  <c r="K179" i="33"/>
  <c r="M43" i="12"/>
  <c r="L19" i="4"/>
  <c r="K115" i="18"/>
  <c r="K46" i="20"/>
  <c r="M88" i="9"/>
  <c r="N155" i="1"/>
  <c r="K158" i="18"/>
  <c r="M74" i="19"/>
  <c r="O69" i="11"/>
  <c r="M51" i="21"/>
  <c r="O163" i="19"/>
  <c r="N51" i="11"/>
  <c r="O145" i="24"/>
  <c r="O51" i="28"/>
  <c r="N35" i="26"/>
  <c r="L50" i="28"/>
  <c r="K150" i="15"/>
  <c r="L43" i="19"/>
  <c r="K13" i="27"/>
  <c r="N178" i="19"/>
  <c r="K52" i="18"/>
  <c r="K125" i="32"/>
  <c r="M126" i="15"/>
  <c r="O161" i="6"/>
  <c r="N181" i="17"/>
  <c r="L146" i="26"/>
  <c r="K52" i="4"/>
  <c r="L146" i="17"/>
  <c r="N106" i="24"/>
  <c r="O134" i="21"/>
  <c r="M88" i="31"/>
  <c r="L81" i="19"/>
  <c r="K140" i="4"/>
  <c r="O56" i="6"/>
  <c r="N13" i="4"/>
  <c r="M121" i="24"/>
  <c r="N130" i="2"/>
  <c r="K39" i="24"/>
  <c r="O74" i="18"/>
  <c r="N184" i="6"/>
  <c r="O68" i="25"/>
  <c r="L94" i="16"/>
  <c r="L54" i="6"/>
  <c r="M166" i="22"/>
  <c r="O3" i="20"/>
  <c r="N38" i="32"/>
  <c r="M159" i="18"/>
  <c r="K137" i="2"/>
  <c r="K143" i="20"/>
  <c r="O108" i="19"/>
  <c r="O63" i="27"/>
  <c r="L52" i="28"/>
  <c r="K42" i="5"/>
  <c r="L121" i="29"/>
  <c r="L93" i="9"/>
  <c r="K50" i="28"/>
  <c r="L121" i="23"/>
  <c r="K168" i="11"/>
  <c r="N176" i="25"/>
  <c r="L9" i="16"/>
  <c r="M113" i="22"/>
  <c r="O177" i="16"/>
  <c r="M168" i="24"/>
  <c r="O132" i="18"/>
  <c r="O111" i="1"/>
  <c r="M85" i="20"/>
  <c r="K139" i="24"/>
  <c r="L106" i="21"/>
  <c r="L86" i="30"/>
  <c r="L141" i="16"/>
  <c r="O111" i="20"/>
  <c r="M93" i="12"/>
  <c r="O118" i="1"/>
  <c r="O93" i="20"/>
  <c r="L113" i="31"/>
  <c r="K101" i="17"/>
  <c r="K99" i="22"/>
  <c r="N40" i="16"/>
  <c r="O174" i="6"/>
  <c r="N39" i="21"/>
  <c r="M157" i="10"/>
  <c r="L166" i="32"/>
  <c r="O180" i="17"/>
  <c r="K61" i="30"/>
  <c r="L134" i="27"/>
  <c r="O58" i="23"/>
  <c r="O119" i="16"/>
  <c r="M26" i="25"/>
  <c r="N121" i="27"/>
  <c r="M81" i="33"/>
  <c r="N107" i="31"/>
  <c r="K85" i="1"/>
  <c r="O94"/>
  <c r="M154" i="21"/>
  <c r="O84" i="12"/>
  <c r="K72" i="26"/>
  <c r="O183" i="31"/>
  <c r="K150" i="16"/>
  <c r="O99" i="1"/>
  <c r="O182" i="15"/>
  <c r="O118" i="24"/>
  <c r="K177" i="25"/>
  <c r="L174" i="20"/>
  <c r="M152" i="25"/>
  <c r="O154"/>
  <c r="N129"/>
  <c r="M121" i="29"/>
  <c r="L163" i="4"/>
  <c r="O26" i="32"/>
  <c r="O86" i="4"/>
  <c r="M166" i="17"/>
  <c r="M182" i="32"/>
  <c r="N99" i="15"/>
  <c r="O15" i="25"/>
  <c r="K21"/>
  <c r="O89" i="24"/>
  <c r="N174" i="19"/>
  <c r="M78" i="12"/>
  <c r="N137" i="29"/>
  <c r="O108" i="28"/>
  <c r="O115"/>
  <c r="L155" i="20"/>
  <c r="K127" i="9"/>
  <c r="M117" i="2"/>
  <c r="N142" i="27"/>
  <c r="M171" i="16"/>
  <c r="M6" i="29"/>
  <c r="L25" i="11"/>
  <c r="O45" i="22"/>
  <c r="L31" i="15"/>
  <c r="M170" i="12"/>
  <c r="L74" i="5"/>
  <c r="L35" i="32"/>
  <c r="M133" i="19"/>
  <c r="M4" i="22"/>
  <c r="M71" i="17"/>
  <c r="L73" i="12"/>
  <c r="K40" i="31"/>
  <c r="L132" i="12"/>
  <c r="L177" i="26"/>
  <c r="O96" i="32"/>
  <c r="L143" i="6"/>
  <c r="L116" i="16"/>
  <c r="M172" i="3"/>
  <c r="K19" i="28"/>
  <c r="K154"/>
  <c r="K121" i="4"/>
  <c r="M47" i="12"/>
  <c r="N84" i="27"/>
  <c r="N118" i="26"/>
  <c r="L31" i="30"/>
  <c r="K110" i="6"/>
  <c r="N42" i="5"/>
  <c r="L166" i="18"/>
  <c r="K107" i="26"/>
  <c r="M95" i="32"/>
  <c r="K40" i="10"/>
  <c r="N150" i="28"/>
  <c r="K21" i="19"/>
  <c r="M158" i="21"/>
  <c r="M153" i="4"/>
  <c r="N78" i="20"/>
  <c r="N121" i="25"/>
  <c r="O79" i="26"/>
  <c r="L135" i="11"/>
  <c r="M145" i="22"/>
  <c r="N157" i="17"/>
  <c r="N178" i="23"/>
  <c r="M129" i="2"/>
  <c r="K10" i="31"/>
  <c r="K57" i="4"/>
  <c r="K139"/>
  <c r="M61" i="22"/>
  <c r="M167" i="2"/>
  <c r="M116" i="20"/>
  <c r="N146" i="28"/>
  <c r="K123" i="10"/>
  <c r="O181" i="24"/>
  <c r="O50" i="28"/>
  <c r="M87" i="33"/>
  <c r="M82" i="16"/>
  <c r="L134" i="29"/>
  <c r="L60" i="12"/>
  <c r="O46" i="25"/>
  <c r="O54" i="16"/>
  <c r="L39" i="18"/>
  <c r="N111" i="5"/>
  <c r="K4" i="22"/>
  <c r="L54" i="29"/>
  <c r="L77" i="3"/>
  <c r="K149" i="17"/>
  <c r="M39" i="24"/>
  <c r="O114" i="29"/>
  <c r="O116" i="26"/>
  <c r="M136" i="25"/>
  <c r="K116" i="12"/>
  <c r="K143" i="4"/>
  <c r="K31" i="28"/>
  <c r="M88" i="11"/>
  <c r="O147" i="17"/>
  <c r="M78" i="28"/>
  <c r="O146" i="15"/>
  <c r="M57" i="18"/>
  <c r="L102" i="6"/>
  <c r="O132" i="27"/>
  <c r="K147" i="6"/>
  <c r="N94" i="1"/>
  <c r="L147" i="20"/>
  <c r="N4" i="27"/>
  <c r="L176" i="12"/>
  <c r="L8" i="3"/>
  <c r="L18" i="32"/>
  <c r="L34" i="28"/>
  <c r="K95" i="1"/>
  <c r="K125" i="33"/>
  <c r="L24" i="3"/>
  <c r="N69" i="10"/>
  <c r="N76" i="20"/>
  <c r="O109" i="12"/>
  <c r="N182" i="17"/>
  <c r="N64" i="15"/>
  <c r="L18" i="5"/>
  <c r="N72" i="26"/>
  <c r="M161" i="15"/>
  <c r="L79" i="30"/>
  <c r="O13" i="2"/>
  <c r="L157" i="30"/>
  <c r="K28" i="19"/>
  <c r="O149" i="28"/>
  <c r="L44" i="21"/>
  <c r="O72" i="1"/>
  <c r="N139" i="21"/>
  <c r="M163" i="30"/>
  <c r="L45" i="1"/>
  <c r="L75" i="26"/>
  <c r="N76" i="15"/>
  <c r="N92" i="5"/>
  <c r="O119" i="23"/>
  <c r="O65" i="3"/>
  <c r="O14" i="11"/>
  <c r="N66" i="19"/>
  <c r="O183" i="4"/>
  <c r="O15" i="26"/>
  <c r="M179"/>
  <c r="O130" i="23"/>
  <c r="M86" i="26"/>
  <c r="L171" i="17"/>
  <c r="M15" i="11"/>
  <c r="N85" i="4"/>
  <c r="L117" i="6"/>
  <c r="L4" i="23"/>
  <c r="O24" i="1"/>
  <c r="O60" i="17"/>
  <c r="O177" i="6"/>
  <c r="L95" i="2"/>
  <c r="M106" i="6"/>
  <c r="M178" i="22"/>
  <c r="N92" i="24"/>
  <c r="K142" i="1"/>
  <c r="L106" i="29"/>
  <c r="M140" i="18"/>
  <c r="L67" i="23"/>
  <c r="L66" i="11"/>
  <c r="O180" i="22"/>
  <c r="K181" i="23"/>
  <c r="L26" i="25"/>
  <c r="L160" i="19"/>
  <c r="O122" i="5"/>
  <c r="N91" i="22"/>
  <c r="O84" i="19"/>
  <c r="K165" i="2"/>
  <c r="K185" i="11"/>
  <c r="L108" i="21"/>
  <c r="O4" i="26"/>
  <c r="K155" i="2"/>
  <c r="M122" i="31"/>
  <c r="K117" i="24"/>
  <c r="N33" i="26"/>
  <c r="K14" i="29"/>
  <c r="O8" i="27"/>
  <c r="M157" i="11"/>
  <c r="N180" i="20"/>
  <c r="O67" i="30"/>
  <c r="N123" i="4"/>
  <c r="K173" i="22"/>
  <c r="M16" i="12"/>
  <c r="N80" i="11"/>
  <c r="M161" i="23"/>
  <c r="L101" i="33"/>
  <c r="K93" i="22"/>
  <c r="L21" i="23"/>
  <c r="M5" i="20"/>
  <c r="L65" i="30"/>
  <c r="K25" i="25"/>
  <c r="K45" i="11"/>
  <c r="M147" i="21"/>
  <c r="N162" i="27"/>
  <c r="L135" i="20"/>
  <c r="O11" i="1"/>
  <c r="O123" i="26"/>
  <c r="M53" i="27"/>
  <c r="L114" i="19"/>
  <c r="O45" i="25"/>
  <c r="M134" i="28"/>
  <c r="K6" i="4"/>
  <c r="L88" i="2"/>
  <c r="K21" i="31"/>
  <c r="N101" i="24"/>
  <c r="N170" i="18"/>
  <c r="M96" i="22"/>
  <c r="M168" i="4"/>
  <c r="O40" i="2"/>
  <c r="M177" i="29"/>
  <c r="K21" i="5"/>
  <c r="M4" i="24"/>
  <c r="N3" i="17"/>
  <c r="O57" i="25"/>
  <c r="L125" i="23"/>
  <c r="N146" i="25"/>
  <c r="L75" i="18"/>
  <c r="M93" i="3"/>
  <c r="O89" i="25"/>
  <c r="L34" i="19"/>
  <c r="O183" i="3"/>
  <c r="L86" i="12"/>
  <c r="M49" i="22"/>
  <c r="L16" i="29"/>
  <c r="L64" i="10"/>
  <c r="N44" i="29"/>
  <c r="N113" i="9"/>
  <c r="L76" i="12"/>
  <c r="L14" i="4"/>
  <c r="O4" i="25"/>
  <c r="N170" i="11"/>
  <c r="K179" i="18"/>
  <c r="K174" i="12"/>
  <c r="N184" i="23"/>
  <c r="M21" i="16"/>
  <c r="O168" i="21"/>
  <c r="M162" i="4"/>
  <c r="K73"/>
  <c r="N66"/>
  <c r="O149" i="10"/>
  <c r="O64" i="26"/>
  <c r="N149" i="1"/>
  <c r="L51" i="16"/>
  <c r="L15" i="9"/>
  <c r="L88" i="31"/>
  <c r="M148" i="18"/>
  <c r="O135" i="16"/>
  <c r="O155" i="31"/>
  <c r="N86" i="20"/>
  <c r="K37" i="12"/>
  <c r="K173" i="16"/>
  <c r="K151" i="23"/>
  <c r="L53" i="9"/>
  <c r="K87" i="10"/>
  <c r="N89" i="27"/>
  <c r="K87" i="17"/>
  <c r="M85" i="12"/>
  <c r="N121" i="17"/>
  <c r="O131" i="9"/>
  <c r="N78" i="22"/>
  <c r="K99" i="20"/>
  <c r="M184" i="31"/>
  <c r="M44" i="1"/>
  <c r="M128" i="19"/>
  <c r="O184" i="18"/>
  <c r="N127" i="17"/>
  <c r="K101" i="12"/>
  <c r="K150" i="26"/>
  <c r="O40" i="18"/>
  <c r="L84" i="27"/>
  <c r="N42" i="30"/>
  <c r="O44" i="20"/>
  <c r="N60" i="15"/>
  <c r="L113" i="12"/>
  <c r="O158" i="24"/>
  <c r="L72" i="9"/>
  <c r="N182" i="18"/>
  <c r="N118" i="9"/>
  <c r="L168" i="1"/>
  <c r="K120" i="25"/>
  <c r="N152" i="24"/>
  <c r="O66" i="5"/>
  <c r="M121" i="12"/>
  <c r="L139" i="3"/>
  <c r="M81" i="23"/>
  <c r="L9" i="6"/>
  <c r="N53" i="29"/>
  <c r="O170" i="20"/>
  <c r="N59" i="33"/>
  <c r="L163" i="12"/>
  <c r="N81" i="1"/>
  <c r="N150" i="33"/>
  <c r="M100" i="32"/>
  <c r="N168" i="9"/>
  <c r="K139" i="17"/>
  <c r="M53" i="32"/>
  <c r="O141" i="6"/>
  <c r="L88" i="17"/>
  <c r="M127" i="15"/>
  <c r="K79" i="12"/>
  <c r="K78" i="9"/>
  <c r="M99" i="19"/>
  <c r="K172" i="31"/>
  <c r="O89" i="33"/>
  <c r="K133" i="12"/>
  <c r="O42" i="1"/>
  <c r="L182" i="9"/>
  <c r="O86" i="28"/>
  <c r="L93" i="29"/>
  <c r="K75" i="24"/>
  <c r="M125" i="22"/>
  <c r="M113" i="11"/>
  <c r="M69" i="4"/>
  <c r="M174" i="1"/>
  <c r="O130" i="29"/>
  <c r="K147" i="9"/>
  <c r="O74"/>
  <c r="M100" i="20"/>
  <c r="L174" i="9"/>
  <c r="K150" i="6"/>
  <c r="O61" i="16"/>
  <c r="L113" i="32"/>
  <c r="L143" i="3"/>
  <c r="M54" i="12"/>
  <c r="O159" i="9"/>
  <c r="M173" i="26"/>
  <c r="K37" i="17"/>
  <c r="M162" i="28"/>
  <c r="O54" i="25"/>
  <c r="L58" i="17"/>
  <c r="N15" i="23"/>
  <c r="O160" i="19"/>
  <c r="K5" i="24"/>
  <c r="N157" i="9"/>
  <c r="O36" i="3"/>
  <c r="N132" i="29"/>
  <c r="N146" i="11"/>
  <c r="M74" i="4"/>
  <c r="N151" i="11"/>
  <c r="L25" i="1"/>
  <c r="N97" i="32"/>
  <c r="N54" i="9"/>
  <c r="N26" i="25"/>
  <c r="M31" i="20"/>
  <c r="O158" i="9"/>
  <c r="N39" i="29"/>
  <c r="L56" i="10"/>
  <c r="K24" i="30"/>
  <c r="N37" i="9"/>
  <c r="L125" i="19"/>
  <c r="L52" i="30"/>
  <c r="O107" i="27"/>
  <c r="M115" i="12"/>
  <c r="K15" i="30"/>
  <c r="K36" i="19"/>
  <c r="M9" i="17"/>
  <c r="N131"/>
  <c r="L123" i="27"/>
  <c r="O72" i="5"/>
  <c r="K185" i="16"/>
  <c r="M150" i="32"/>
  <c r="L145" i="31"/>
  <c r="L140"/>
  <c r="N29" i="4"/>
  <c r="K161" i="23"/>
  <c r="O153"/>
  <c r="K28" i="17"/>
  <c r="O43" i="19"/>
  <c r="M101"/>
  <c r="K31" i="10"/>
  <c r="O182" i="16"/>
  <c r="K160" i="32"/>
  <c r="M98" i="23"/>
  <c r="O35"/>
  <c r="N171" i="15"/>
  <c r="N163" i="2"/>
  <c r="N139" i="32"/>
  <c r="L33" i="22"/>
  <c r="N125" i="9"/>
  <c r="L125" i="33"/>
  <c r="O74" i="10"/>
  <c r="K58" i="12"/>
  <c r="M110" i="22"/>
  <c r="L109" i="31"/>
  <c r="M120" i="4"/>
  <c r="O178" i="15"/>
  <c r="N182" i="1"/>
  <c r="K72" i="9"/>
  <c r="L14" i="5"/>
  <c r="O13" i="1"/>
  <c r="N182" i="28"/>
  <c r="M108" i="1"/>
  <c r="L111" i="21"/>
  <c r="L60" i="9"/>
  <c r="N16" i="11"/>
  <c r="K18" i="1"/>
  <c r="L140" i="33"/>
  <c r="K78" i="16"/>
  <c r="O95" i="20"/>
  <c r="L119" i="23"/>
  <c r="O149" i="22"/>
  <c r="N54" i="31"/>
  <c r="M128" i="21"/>
  <c r="L98" i="2"/>
  <c r="M3" i="1"/>
  <c r="K154" i="11"/>
  <c r="N123" i="33"/>
  <c r="N132" i="5"/>
  <c r="N74" i="24"/>
  <c r="M119" i="31"/>
  <c r="O132" i="1"/>
  <c r="K102" i="30"/>
  <c r="L66" i="17"/>
  <c r="M10" i="23"/>
  <c r="M181"/>
  <c r="K57" i="6"/>
  <c r="O42" i="9"/>
  <c r="L172" i="30"/>
  <c r="K78" i="23"/>
  <c r="M20" i="6"/>
  <c r="K150" i="32"/>
  <c r="O40" i="4"/>
  <c r="O100" i="15"/>
  <c r="M89" i="30"/>
  <c r="M168" i="9"/>
  <c r="K76" i="24"/>
  <c r="N66" i="18"/>
  <c r="L183" i="22"/>
  <c r="O106" i="3"/>
  <c r="L123" i="11"/>
  <c r="M166" i="1"/>
  <c r="O110" i="27"/>
  <c r="K65" i="24"/>
  <c r="L151" i="11"/>
  <c r="O68" i="3"/>
  <c r="M45"/>
  <c r="N54" i="26"/>
  <c r="N61" i="1"/>
  <c r="L96" i="30"/>
  <c r="K92" i="18"/>
  <c r="N72" i="9"/>
  <c r="M71" i="22"/>
  <c r="L42" i="32"/>
  <c r="O106" i="30"/>
  <c r="O40" i="5"/>
  <c r="N165" i="30"/>
  <c r="M46" i="23"/>
  <c r="O64" i="5"/>
  <c r="O79" i="9"/>
  <c r="N89" i="19"/>
  <c r="K185" i="23"/>
  <c r="N114" i="22"/>
  <c r="K29" i="6"/>
  <c r="K145" i="9"/>
  <c r="O57" i="11"/>
  <c r="M139" i="27"/>
  <c r="O151" i="6"/>
  <c r="K42" i="19"/>
  <c r="M88" i="28"/>
  <c r="K121" i="3"/>
  <c r="N167" i="15"/>
  <c r="O9" i="5"/>
  <c r="O54" i="30"/>
  <c r="L131" i="6"/>
  <c r="N4" i="3"/>
  <c r="M36" i="15"/>
  <c r="L151" i="28"/>
  <c r="K114" i="16"/>
  <c r="N166" i="31"/>
  <c r="L54" i="25"/>
  <c r="K101"/>
  <c r="L64" i="27"/>
  <c r="L77" i="19"/>
  <c r="O52" i="4"/>
  <c r="K135" i="17"/>
  <c r="K25" i="32"/>
  <c r="O11" i="11"/>
  <c r="O82" i="1"/>
  <c r="M134" i="18"/>
  <c r="M144" i="11"/>
  <c r="O125" i="12"/>
  <c r="O128" i="17"/>
  <c r="K39" i="28"/>
  <c r="N129" i="5"/>
  <c r="M87" i="9"/>
  <c r="O71" i="4"/>
  <c r="K76" i="9"/>
  <c r="L121" i="30"/>
  <c r="O28" i="20"/>
  <c r="M88" i="15"/>
  <c r="M122" i="3"/>
  <c r="N100" i="5"/>
  <c r="M149" i="30"/>
  <c r="O81" i="17"/>
  <c r="M50" i="20"/>
  <c r="L108" i="9"/>
  <c r="M148" i="4"/>
  <c r="K128" i="22"/>
  <c r="N99" i="1"/>
  <c r="L101" i="22"/>
  <c r="O166" i="33"/>
  <c r="L52" i="16"/>
  <c r="L121" i="22"/>
  <c r="K108" i="20"/>
  <c r="M20"/>
  <c r="O28" i="25"/>
  <c r="M18" i="20"/>
  <c r="M15" i="3"/>
  <c r="M40" i="25"/>
  <c r="K126" i="33"/>
  <c r="N10" i="17"/>
  <c r="M46" i="21"/>
  <c r="L68" i="17"/>
  <c r="K160"/>
  <c r="L5" i="22"/>
  <c r="M23" i="30"/>
  <c r="M64" i="33"/>
  <c r="M21" i="9"/>
  <c r="M169" i="33"/>
  <c r="N134" i="27"/>
  <c r="O20" i="31"/>
  <c r="N26" i="17"/>
  <c r="O109" i="31"/>
  <c r="L145" i="32"/>
  <c r="N53" i="15"/>
  <c r="L49" i="3"/>
  <c r="L57" i="27"/>
  <c r="L39" i="32"/>
  <c r="M84" i="2"/>
  <c r="L185" i="18"/>
  <c r="K66" i="30"/>
  <c r="K168" i="28"/>
  <c r="O57" i="9"/>
  <c r="K133" i="26"/>
  <c r="K40" i="19"/>
  <c r="L79"/>
  <c r="L167" i="2"/>
  <c r="L168" i="11"/>
  <c r="M93" i="5"/>
  <c r="M26" i="30"/>
  <c r="N122" i="10"/>
  <c r="N84" i="29"/>
  <c r="M135" i="19"/>
  <c r="K118" i="9"/>
  <c r="K148" i="16"/>
  <c r="N171" i="21"/>
  <c r="N167" i="6"/>
  <c r="K79" i="20"/>
  <c r="N58" i="27"/>
  <c r="L86" i="1"/>
  <c r="M30" i="15"/>
  <c r="M63" i="3"/>
  <c r="N43" i="9"/>
  <c r="K40"/>
  <c r="O39" i="28"/>
  <c r="N137" i="26"/>
  <c r="M137" i="9"/>
  <c r="L153" i="21"/>
  <c r="O158" i="16"/>
  <c r="M102" i="19"/>
  <c r="L39" i="30"/>
  <c r="N183" i="28"/>
  <c r="O182" i="6"/>
  <c r="K141" i="10"/>
  <c r="M89" i="28"/>
  <c r="N8" i="2"/>
  <c r="L6" i="4"/>
  <c r="O14" i="21"/>
  <c r="N10" i="11"/>
  <c r="M117" i="21"/>
  <c r="O112" i="17"/>
  <c r="M46" i="4"/>
  <c r="K106" i="16"/>
  <c r="N139" i="17"/>
  <c r="K117" i="28"/>
  <c r="O173" i="29"/>
  <c r="M84" i="26"/>
  <c r="M97" i="21"/>
  <c r="L180" i="15"/>
  <c r="O5" i="32"/>
  <c r="N91" i="11"/>
  <c r="L148" i="24"/>
  <c r="N108" i="10"/>
  <c r="L24" i="20"/>
  <c r="M135" i="26"/>
  <c r="M137" i="2"/>
  <c r="M89" i="12"/>
  <c r="K52" i="22"/>
  <c r="M47" i="18"/>
  <c r="N146"/>
  <c r="N154" i="12"/>
  <c r="N96" i="16"/>
  <c r="N30" i="28"/>
  <c r="L63" i="29"/>
  <c r="K82"/>
  <c r="N149" i="6"/>
  <c r="O89" i="26"/>
  <c r="K86" i="18"/>
  <c r="N117" i="28"/>
  <c r="M10" i="9"/>
  <c r="N16" i="12"/>
  <c r="O118"/>
  <c r="K74" i="21"/>
  <c r="L8" i="2"/>
  <c r="M167" i="18"/>
  <c r="M96" i="26"/>
  <c r="L179" i="21"/>
  <c r="L125" i="28"/>
  <c r="N155" i="10"/>
  <c r="M108" i="4"/>
  <c r="K95" i="20"/>
  <c r="L20" i="29"/>
  <c r="L158" i="6"/>
  <c r="L14" i="2"/>
  <c r="M152" i="19"/>
  <c r="L128" i="20"/>
  <c r="K102" i="12"/>
  <c r="M34" i="20"/>
  <c r="O84" i="25"/>
  <c r="L94" i="30"/>
  <c r="O166" i="28"/>
  <c r="L42" i="2"/>
  <c r="K10" i="28"/>
  <c r="L179" i="5"/>
  <c r="L126" i="19"/>
  <c r="O133" i="18"/>
  <c r="K58" i="26"/>
  <c r="O123" i="2"/>
  <c r="M179" i="30"/>
  <c r="K42" i="20"/>
  <c r="N132" i="12"/>
  <c r="K114" i="6"/>
  <c r="M40" i="11"/>
  <c r="M89" i="32"/>
  <c r="L166" i="11"/>
  <c r="K75" i="31"/>
  <c r="L89" i="15"/>
  <c r="L158" i="24"/>
  <c r="K120" i="18"/>
  <c r="M46" i="16"/>
  <c r="N65" i="31"/>
  <c r="N119" i="27"/>
  <c r="L137" i="22"/>
  <c r="N36" i="20"/>
  <c r="O38" i="9"/>
  <c r="M85" i="32"/>
  <c r="O110" i="29"/>
  <c r="L174" i="11"/>
  <c r="M121" i="31"/>
  <c r="K178" i="28"/>
  <c r="O108" i="11"/>
  <c r="K137" i="28"/>
  <c r="M145" i="2"/>
  <c r="M6" i="31"/>
  <c r="K178" i="24"/>
  <c r="L66" i="10"/>
  <c r="O173" i="26"/>
  <c r="K184" i="28"/>
  <c r="N167" i="11"/>
  <c r="O151" i="9"/>
  <c r="N114" i="31"/>
  <c r="O81"/>
  <c r="K19" i="4"/>
  <c r="L167" i="33"/>
  <c r="K177" i="28"/>
  <c r="L151" i="9"/>
  <c r="O113" i="10"/>
  <c r="M66" i="25"/>
  <c r="M8" i="30"/>
  <c r="N115" i="5"/>
  <c r="O151" i="33"/>
  <c r="O51" i="29"/>
  <c r="K154" i="23"/>
  <c r="N184" i="10"/>
  <c r="K77" i="4"/>
  <c r="M136" i="6"/>
  <c r="L137" i="25"/>
  <c r="N67" i="16"/>
  <c r="N45" i="20"/>
  <c r="M51" i="2"/>
  <c r="L141" i="11"/>
  <c r="K43" i="26"/>
  <c r="L64"/>
  <c r="N184" i="4"/>
  <c r="M4" i="17"/>
  <c r="M64" i="12"/>
  <c r="N18" i="10"/>
  <c r="N135"/>
  <c r="O93" i="6"/>
  <c r="N79" i="32"/>
  <c r="K37" i="2"/>
  <c r="M5" i="27"/>
  <c r="K23" i="4"/>
  <c r="O134" i="9"/>
  <c r="K145" i="3"/>
  <c r="M9" i="30"/>
  <c r="N64" i="3"/>
  <c r="N95" i="11"/>
  <c r="K131" i="15"/>
  <c r="M161" i="31"/>
  <c r="M166" i="4"/>
  <c r="L178" i="24"/>
  <c r="L29" i="15"/>
  <c r="M35" i="18"/>
  <c r="M140" i="24"/>
  <c r="K51" i="27"/>
  <c r="O31" i="2"/>
  <c r="N160" i="28"/>
  <c r="N61" i="27"/>
  <c r="L157" i="21"/>
  <c r="L117" i="12"/>
  <c r="O94" i="11"/>
  <c r="K134" i="33"/>
  <c r="O162" i="1"/>
  <c r="L78" i="21"/>
  <c r="O72" i="6"/>
  <c r="M59" i="12"/>
  <c r="L153"/>
  <c r="N101" i="32"/>
  <c r="L68" i="24"/>
  <c r="N112" i="21"/>
  <c r="N29" i="23"/>
  <c r="M185" i="28"/>
  <c r="N141" i="4"/>
  <c r="M177" i="10"/>
  <c r="N162" i="21"/>
  <c r="O85" i="6"/>
  <c r="M181" i="4"/>
  <c r="L5" i="17"/>
  <c r="L97" i="2"/>
  <c r="M29" i="9"/>
  <c r="L109" i="4"/>
  <c r="O101" i="25"/>
  <c r="K125" i="16"/>
  <c r="O56" i="15"/>
  <c r="N92" i="2"/>
  <c r="N45" i="31"/>
  <c r="N162" i="10"/>
  <c r="O113" i="23"/>
  <c r="N52" i="20"/>
  <c r="L180" i="3"/>
  <c r="K109" i="33"/>
  <c r="L131" i="23"/>
  <c r="K80" i="22"/>
  <c r="O29" i="16"/>
  <c r="K158" i="10"/>
  <c r="K36" i="16"/>
  <c r="O76" i="27"/>
  <c r="M182" i="4"/>
  <c r="L31" i="25"/>
  <c r="L112" i="21"/>
  <c r="L81" i="26"/>
  <c r="K71" i="5"/>
  <c r="O43" i="18"/>
  <c r="K43" i="20"/>
  <c r="O153" i="4"/>
  <c r="K102" i="15"/>
  <c r="L57" i="19"/>
  <c r="M92" i="4"/>
  <c r="L64" i="11"/>
  <c r="L94" i="15"/>
  <c r="O110" i="21"/>
  <c r="O15" i="22"/>
  <c r="N109" i="19"/>
  <c r="L35"/>
  <c r="N161" i="30"/>
  <c r="L126" i="1"/>
  <c r="M151" i="31"/>
  <c r="M173" i="25"/>
  <c r="N131" i="24"/>
  <c r="L165" i="25"/>
  <c r="M31" i="5"/>
  <c r="L53" i="29"/>
  <c r="K58" i="19"/>
  <c r="M145" i="5"/>
  <c r="L107" i="10"/>
  <c r="L97" i="12"/>
  <c r="N122" i="26"/>
  <c r="O108" i="12"/>
  <c r="L125" i="9"/>
  <c r="O99" i="10"/>
  <c r="O134" i="18"/>
  <c r="M108" i="30"/>
  <c r="K177" i="23"/>
  <c r="L25" i="22"/>
  <c r="K137" i="1"/>
  <c r="N53" i="2"/>
  <c r="M110" i="30"/>
  <c r="K82" i="11"/>
  <c r="L18" i="33"/>
  <c r="N43" i="6"/>
  <c r="K8" i="16"/>
  <c r="O19" i="24"/>
  <c r="M154" i="27"/>
  <c r="L71" i="12"/>
  <c r="L52" i="19"/>
  <c r="O42" i="20"/>
  <c r="O49" i="33"/>
  <c r="O165" i="3"/>
  <c r="N9" i="2"/>
  <c r="K67" i="22"/>
  <c r="N128" i="10"/>
  <c r="K80" i="1"/>
  <c r="O146" i="30"/>
  <c r="K127"/>
  <c r="K61" i="17"/>
  <c r="M123" i="24"/>
  <c r="K8" i="6"/>
  <c r="N19" i="12"/>
  <c r="L8"/>
  <c r="L28" i="16"/>
  <c r="M147" i="23"/>
  <c r="K15" i="27"/>
  <c r="N122" i="25"/>
  <c r="N102" i="29"/>
  <c r="L80" i="26"/>
  <c r="M89" i="2"/>
  <c r="K37" i="15"/>
  <c r="O161" i="24"/>
  <c r="N177"/>
  <c r="K110" i="32"/>
  <c r="N95" i="33"/>
  <c r="O69" i="19"/>
  <c r="M15" i="29"/>
  <c r="M87" i="32"/>
  <c r="M140" i="6"/>
  <c r="N135" i="12"/>
  <c r="O123" i="3"/>
  <c r="M99" i="21"/>
  <c r="N10" i="9"/>
  <c r="K56" i="21"/>
  <c r="K136" i="1"/>
  <c r="M114" i="29"/>
  <c r="M30" i="21"/>
  <c r="K120" i="26"/>
  <c r="L9"/>
  <c r="L146" i="12"/>
  <c r="M152" i="11"/>
  <c r="N86" i="4"/>
  <c r="N148" i="1"/>
  <c r="N159" i="17"/>
  <c r="K37" i="16"/>
  <c r="K9" i="12"/>
  <c r="O42" i="11"/>
  <c r="N114" i="15"/>
  <c r="O115" i="18"/>
  <c r="K180" i="5"/>
  <c r="N69" i="25"/>
  <c r="M34" i="29"/>
  <c r="N110" i="30"/>
  <c r="M79" i="26"/>
  <c r="O35" i="25"/>
  <c r="N35"/>
  <c r="O135" i="20"/>
  <c r="M146" i="29"/>
  <c r="M19" i="25"/>
  <c r="M59" i="24"/>
  <c r="O60" i="19"/>
  <c r="K99" i="26"/>
  <c r="N38" i="21"/>
  <c r="K130" i="10"/>
  <c r="N76" i="22"/>
  <c r="L132" i="19"/>
  <c r="O100" i="25"/>
  <c r="M127" i="11"/>
  <c r="O76" i="20"/>
  <c r="O174" i="31"/>
  <c r="M109" i="24"/>
  <c r="N78" i="10"/>
  <c r="O109"/>
  <c r="M148" i="32"/>
  <c r="K29" i="25"/>
  <c r="M183" i="22"/>
  <c r="O20" i="29"/>
  <c r="O139" i="10"/>
  <c r="N160" i="16"/>
  <c r="M111" i="27"/>
  <c r="K15" i="31"/>
  <c r="K31" i="32"/>
  <c r="K61" i="24"/>
  <c r="K91" i="20"/>
  <c r="L77" i="12"/>
  <c r="L63" i="10"/>
  <c r="K34"/>
  <c r="L84" i="21"/>
  <c r="N6" i="31"/>
  <c r="K145" i="15"/>
  <c r="N110" i="3"/>
  <c r="N173" i="28"/>
  <c r="K160" i="12"/>
  <c r="O92" i="22"/>
  <c r="O9"/>
  <c r="N145" i="31"/>
  <c r="O81" i="11"/>
  <c r="N130" i="28"/>
  <c r="N13" i="29"/>
  <c r="L185" i="30"/>
  <c r="O75" i="2"/>
  <c r="M54" i="25"/>
  <c r="O122" i="1"/>
  <c r="N141" i="29"/>
  <c r="M57" i="5"/>
  <c r="L171" i="32"/>
  <c r="K79" i="4"/>
  <c r="L152" i="11"/>
  <c r="L73" i="2"/>
  <c r="M114" i="12"/>
  <c r="L129" i="4"/>
  <c r="M98" i="12"/>
  <c r="M149" i="4"/>
  <c r="K160" i="20"/>
  <c r="O163" i="2"/>
  <c r="N155" i="15"/>
  <c r="N76" i="32"/>
  <c r="M181" i="2"/>
  <c r="O78" i="28"/>
  <c r="O58" i="24"/>
  <c r="N24" i="3"/>
  <c r="M137" i="24"/>
  <c r="O146" i="11"/>
  <c r="K45" i="26"/>
  <c r="M18" i="32"/>
  <c r="M132" i="26"/>
  <c r="K80" i="2"/>
  <c r="N24" i="12"/>
  <c r="K66" i="1"/>
  <c r="O47" i="25"/>
  <c r="K94" i="26"/>
  <c r="O168" i="4"/>
  <c r="O68" i="19"/>
  <c r="M106" i="4"/>
  <c r="N54" i="27"/>
  <c r="O168" i="24"/>
  <c r="O135" i="19"/>
  <c r="K116" i="23"/>
  <c r="O65" i="28"/>
  <c r="N8" i="16"/>
  <c r="O94" i="25"/>
  <c r="M46" i="5"/>
  <c r="K46" i="16"/>
  <c r="K45" i="25"/>
  <c r="M20" i="5"/>
  <c r="O143" i="33"/>
  <c r="N140" i="32"/>
  <c r="O174" i="24"/>
  <c r="N85" i="19"/>
  <c r="O58" i="22"/>
  <c r="L80" i="20"/>
  <c r="N111" i="24"/>
  <c r="L34" i="31"/>
  <c r="L114" i="2"/>
  <c r="M102" i="26"/>
  <c r="K61" i="2"/>
  <c r="L3" i="9"/>
  <c r="M178" i="11"/>
  <c r="N100" i="10"/>
  <c r="M5" i="11"/>
  <c r="K97" i="16"/>
  <c r="M51" i="29"/>
  <c r="L151" i="2"/>
  <c r="N4" i="4"/>
  <c r="N132" i="28"/>
  <c r="M107" i="25"/>
  <c r="M163" i="27"/>
  <c r="K139" i="16"/>
  <c r="M111" i="25"/>
  <c r="N111" i="17"/>
  <c r="M86" i="11"/>
  <c r="O181" i="20"/>
  <c r="K145" i="24"/>
  <c r="N116" i="21"/>
  <c r="M53" i="3"/>
  <c r="K178" i="21"/>
  <c r="O21" i="29"/>
  <c r="N64" i="23"/>
  <c r="O136" i="24"/>
  <c r="K130"/>
  <c r="M98" i="2"/>
  <c r="O148" i="26"/>
  <c r="K148" i="2"/>
  <c r="M162" i="1"/>
  <c r="O87" i="31"/>
  <c r="M184" i="9"/>
  <c r="K9" i="2"/>
  <c r="N158" i="1"/>
  <c r="K29" i="33"/>
  <c r="N127" i="26"/>
  <c r="O97" i="16"/>
  <c r="K154" i="25"/>
  <c r="O134" i="24"/>
  <c r="O119" i="19"/>
  <c r="M57" i="2"/>
  <c r="M101" i="22"/>
  <c r="M150" i="25"/>
  <c r="M102" i="4"/>
  <c r="L94" i="1"/>
  <c r="M34" i="32"/>
  <c r="K19" i="3"/>
  <c r="O113" i="30"/>
  <c r="N84" i="24"/>
  <c r="L106" i="17"/>
  <c r="M52" i="10"/>
  <c r="N100" i="21"/>
  <c r="M179" i="25"/>
  <c r="N106"/>
  <c r="K151"/>
  <c r="K133" i="9"/>
  <c r="L143" i="29"/>
  <c r="K130" i="3"/>
  <c r="M29" i="15"/>
  <c r="N29" i="17"/>
  <c r="L128" i="24"/>
  <c r="L160" i="21"/>
  <c r="L60" i="25"/>
  <c r="M172" i="15"/>
  <c r="L145" i="10"/>
  <c r="M68" i="15"/>
  <c r="L57" i="24"/>
  <c r="N161" i="10"/>
  <c r="N123" i="32"/>
  <c r="K4" i="10"/>
  <c r="M140" i="9"/>
  <c r="O9" i="31"/>
  <c r="K30" i="15"/>
  <c r="O163" i="21"/>
  <c r="L122" i="25"/>
  <c r="L137" i="19"/>
  <c r="O40" i="1"/>
  <c r="O151" i="19"/>
  <c r="L136" i="24"/>
  <c r="L117" i="18"/>
  <c r="K59" i="33"/>
  <c r="K82" i="24"/>
  <c r="N67" i="18"/>
  <c r="K8" i="28"/>
  <c r="M46" i="24"/>
  <c r="M153" i="18"/>
  <c r="O69" i="33"/>
  <c r="L46" i="6"/>
  <c r="K110" i="11"/>
  <c r="L141" i="21"/>
  <c r="N151" i="9"/>
  <c r="K179" i="19"/>
  <c r="L57" i="12"/>
  <c r="N40" i="4"/>
  <c r="K89" i="21"/>
  <c r="L169" i="33"/>
  <c r="K40" i="30"/>
  <c r="O106" i="33"/>
  <c r="M99" i="30"/>
  <c r="M80" i="20"/>
  <c r="O137" i="26"/>
  <c r="L73" i="21"/>
  <c r="M120" i="24"/>
  <c r="M4" i="15"/>
  <c r="K25" i="19"/>
  <c r="M73" i="32"/>
  <c r="L135" i="27"/>
  <c r="O159" i="19"/>
  <c r="L96" i="27"/>
  <c r="L97" i="1"/>
  <c r="M102" i="2"/>
  <c r="K57" i="22"/>
  <c r="M176" i="25"/>
  <c r="N151" i="26"/>
  <c r="K121" i="24"/>
  <c r="M114"/>
  <c r="O137" i="2"/>
  <c r="L87" i="19"/>
  <c r="L171" i="20"/>
  <c r="M85" i="21"/>
  <c r="L72" i="2"/>
  <c r="L180" i="29"/>
  <c r="K14" i="33"/>
  <c r="N92" i="25"/>
  <c r="M39" i="29"/>
  <c r="L154" i="2"/>
  <c r="K126" i="20"/>
  <c r="N177" i="6"/>
  <c r="M73" i="30"/>
  <c r="K133" i="10"/>
  <c r="K25" i="30"/>
  <c r="L106" i="10"/>
  <c r="N94" i="4"/>
  <c r="K165" i="9"/>
  <c r="O172" i="5"/>
  <c r="L149" i="9"/>
  <c r="N78" i="29"/>
  <c r="K11" i="6"/>
  <c r="K120" i="30"/>
  <c r="O97" i="29"/>
  <c r="N37" i="4"/>
  <c r="K111" i="12"/>
  <c r="L112" i="11"/>
  <c r="M101" i="6"/>
  <c r="O113"/>
  <c r="K185" i="5"/>
  <c r="O112" i="33"/>
  <c r="N73" i="21"/>
  <c r="K86" i="23"/>
  <c r="L3"/>
  <c r="L43" i="32"/>
  <c r="N28" i="4"/>
  <c r="K163" i="29"/>
  <c r="K177" i="31"/>
  <c r="M101" i="21"/>
  <c r="K117" i="15"/>
  <c r="M93" i="27"/>
  <c r="K168" i="16"/>
  <c r="O74"/>
  <c r="L129" i="1"/>
  <c r="K149"/>
  <c r="M13" i="11"/>
  <c r="K58" i="25"/>
  <c r="O20" i="28"/>
  <c r="L73" i="3"/>
  <c r="L157" i="9"/>
  <c r="N57" i="33"/>
  <c r="O11" i="18"/>
  <c r="K118" i="20"/>
  <c r="O40" i="12"/>
  <c r="K20" i="31"/>
  <c r="L112" i="16"/>
  <c r="K174" i="5"/>
  <c r="M46" i="27"/>
  <c r="N51" i="30"/>
  <c r="M169" i="2"/>
  <c r="K67"/>
  <c r="O43" i="16"/>
  <c r="K180" i="24"/>
  <c r="O152" i="25"/>
  <c r="N31" i="26"/>
  <c r="M108" i="15"/>
  <c r="O111" i="2"/>
  <c r="N37" i="28"/>
  <c r="K21" i="10"/>
  <c r="N53" i="32"/>
  <c r="N82" i="25"/>
  <c r="L123" i="32"/>
  <c r="N110" i="19"/>
  <c r="N88"/>
  <c r="M77" i="20"/>
  <c r="L163" i="17"/>
  <c r="N101" i="29"/>
  <c r="N163" i="17"/>
  <c r="M5" i="21"/>
  <c r="O170" i="4"/>
  <c r="M111" i="9"/>
  <c r="M13" i="30"/>
  <c r="L163" i="10"/>
  <c r="K67" i="30"/>
  <c r="M118" i="25"/>
  <c r="M139" i="21"/>
  <c r="N54" i="16"/>
  <c r="M39" i="21"/>
  <c r="L84" i="32"/>
  <c r="L180" i="21"/>
  <c r="N99" i="30"/>
  <c r="L139" i="5"/>
  <c r="L99" i="23"/>
  <c r="N153" i="2"/>
  <c r="O174" i="28"/>
  <c r="O112" i="16"/>
  <c r="O110" i="19"/>
  <c r="K30" i="28"/>
  <c r="L141" i="30"/>
  <c r="K52" i="16"/>
  <c r="M125"/>
  <c r="L159" i="22"/>
  <c r="O123" i="15"/>
  <c r="O61" i="21"/>
  <c r="M74" i="6"/>
  <c r="L136" i="4"/>
  <c r="O13" i="12"/>
  <c r="N157" i="31"/>
  <c r="K77" i="16"/>
  <c r="N170"/>
  <c r="M100" i="26"/>
  <c r="N87" i="9"/>
  <c r="L142" i="18"/>
  <c r="M68" i="16"/>
  <c r="O111" i="6"/>
  <c r="L72" i="5"/>
  <c r="L114" i="6"/>
  <c r="L49" i="20"/>
  <c r="N168"/>
  <c r="O68" i="32"/>
  <c r="L107" i="15"/>
  <c r="M184" i="11"/>
  <c r="L36" i="23"/>
  <c r="K31" i="11"/>
  <c r="N142" i="12"/>
  <c r="M52" i="4"/>
  <c r="M181" i="26"/>
  <c r="N125" i="32"/>
  <c r="L80" i="12"/>
  <c r="N64" i="33"/>
  <c r="O23" i="32"/>
  <c r="K39" i="18"/>
  <c r="L47" i="20"/>
  <c r="N142" i="33"/>
  <c r="L106" i="26"/>
  <c r="O69" i="21"/>
  <c r="K46" i="2"/>
  <c r="L163" i="3"/>
  <c r="O89" i="11"/>
  <c r="L169" i="1"/>
  <c r="N121" i="31"/>
  <c r="L64" i="25"/>
  <c r="K115" i="33"/>
  <c r="L99"/>
  <c r="N54" i="5"/>
  <c r="N88" i="11"/>
  <c r="M143" i="9"/>
  <c r="N127"/>
  <c r="O66" i="4"/>
  <c r="N28" i="29"/>
  <c r="K25" i="23"/>
  <c r="N75" i="29"/>
  <c r="L30" i="9"/>
  <c r="N128" i="23"/>
  <c r="N16" i="27"/>
  <c r="O134" i="30"/>
  <c r="O21" i="10"/>
  <c r="L113" i="15"/>
  <c r="K108" i="2"/>
  <c r="K50" i="15"/>
  <c r="O113" i="33"/>
  <c r="M14" i="10"/>
  <c r="M139" i="11"/>
  <c r="K91"/>
  <c r="L152" i="31"/>
  <c r="N9" i="29"/>
  <c r="K149" i="32"/>
  <c r="N77" i="18"/>
  <c r="M3" i="16"/>
  <c r="O149" i="33"/>
  <c r="N6"/>
  <c r="N102" i="16"/>
  <c r="M23" i="9"/>
  <c r="O107" i="25"/>
  <c r="M102" i="28"/>
  <c r="K126" i="5"/>
  <c r="L184" i="26"/>
  <c r="L166" i="31"/>
  <c r="K15" i="17"/>
  <c r="M180" i="5"/>
  <c r="K172" i="27"/>
  <c r="N151" i="3"/>
  <c r="O140" i="25"/>
  <c r="L53" i="6"/>
  <c r="M87" i="23"/>
  <c r="L31" i="10"/>
  <c r="O131"/>
  <c r="K60" i="25"/>
  <c r="K26" i="24"/>
  <c r="K149" i="19"/>
  <c r="N127" i="15"/>
  <c r="K11" i="18"/>
  <c r="M8" i="3"/>
  <c r="O71" i="12"/>
  <c r="M163" i="21"/>
  <c r="M147" i="29"/>
  <c r="L177" i="31"/>
  <c r="O131" i="30"/>
  <c r="M87" i="10"/>
  <c r="L151" i="15"/>
  <c r="O130" i="33"/>
  <c r="M59" i="28"/>
  <c r="M36" i="9"/>
  <c r="K169" i="22"/>
  <c r="M160" i="23"/>
  <c r="K45" i="20"/>
  <c r="O131" i="32"/>
  <c r="M179" i="11"/>
  <c r="O120" i="12"/>
  <c r="K172" i="33"/>
  <c r="N5" i="28"/>
  <c r="K72" i="10"/>
  <c r="N52" i="2"/>
  <c r="M20" i="3"/>
  <c r="M69" i="5"/>
  <c r="L39" i="12"/>
  <c r="L109" i="6"/>
  <c r="O31" i="18"/>
  <c r="M178" i="9"/>
  <c r="M3" i="30"/>
  <c r="M151" i="10"/>
  <c r="K158" i="9"/>
  <c r="M6" i="16"/>
  <c r="K183" i="12"/>
  <c r="N111" i="25"/>
  <c r="K167" i="16"/>
  <c r="K34" i="33"/>
  <c r="K182" i="19"/>
  <c r="M92" i="5"/>
  <c r="O21" i="27"/>
  <c r="L72" i="12"/>
  <c r="M21" i="27"/>
  <c r="O21" i="30"/>
  <c r="L5" i="1"/>
  <c r="M95" i="19"/>
  <c r="K171" i="3"/>
  <c r="L183" i="21"/>
  <c r="L38" i="22"/>
  <c r="M158" i="17"/>
  <c r="O18" i="16"/>
  <c r="O80" i="26"/>
  <c r="L15"/>
  <c r="L130" i="22"/>
  <c r="O158" i="25"/>
  <c r="K60" i="2"/>
  <c r="O160" i="28"/>
  <c r="K178" i="11"/>
  <c r="L54" i="24"/>
  <c r="M69" i="1"/>
  <c r="K85" i="10"/>
  <c r="K184" i="30"/>
  <c r="N137" i="27"/>
  <c r="K8" i="12"/>
  <c r="K118" i="11"/>
  <c r="L109" i="22"/>
  <c r="N16" i="20"/>
  <c r="L167" i="11"/>
  <c r="K184" i="23"/>
  <c r="M154" i="6"/>
  <c r="L171" i="10"/>
  <c r="L47" i="19"/>
  <c r="N126" i="10"/>
  <c r="K34" i="16"/>
  <c r="N151" i="1"/>
  <c r="N172" i="16"/>
  <c r="M153"/>
  <c r="M123" i="17"/>
  <c r="O181" i="25"/>
  <c r="K100" i="6"/>
  <c r="L111" i="31"/>
  <c r="K13" i="4"/>
  <c r="N106" i="6"/>
  <c r="K169" i="12"/>
  <c r="M60" i="29"/>
  <c r="M85" i="4"/>
  <c r="N64" i="25"/>
  <c r="M59" i="26"/>
  <c r="O122" i="16"/>
  <c r="K67" i="3"/>
  <c r="O4" i="10"/>
  <c r="N158" i="33"/>
  <c r="M160" i="29"/>
  <c r="K174" i="28"/>
  <c r="N113" i="3"/>
  <c r="O25" i="11"/>
  <c r="O81" i="21"/>
  <c r="O101" i="18"/>
  <c r="K52" i="9"/>
  <c r="N102" i="19"/>
  <c r="L69" i="5"/>
  <c r="N52" i="18"/>
  <c r="M88" i="17"/>
  <c r="M49" i="25"/>
  <c r="N135" i="2"/>
  <c r="N179" i="27"/>
  <c r="K60"/>
  <c r="N154" i="26"/>
  <c r="M171" i="23"/>
  <c r="M74" i="5"/>
  <c r="N14" i="20"/>
  <c r="M20" i="29"/>
  <c r="L163" i="31"/>
  <c r="O80" i="27"/>
  <c r="O74" i="28"/>
  <c r="L160" i="22"/>
  <c r="L10" i="24"/>
  <c r="M36" i="27"/>
  <c r="M182" i="28"/>
  <c r="L14" i="23"/>
  <c r="N67" i="2"/>
  <c r="M60" i="28"/>
  <c r="O143" i="5"/>
  <c r="M125" i="17"/>
  <c r="O56" i="22"/>
  <c r="M151" i="3"/>
  <c r="O94" i="21"/>
  <c r="N8" i="12"/>
  <c r="M81" i="4"/>
  <c r="K42" i="27"/>
  <c r="L111" i="10"/>
  <c r="L40" i="33"/>
  <c r="N166"/>
  <c r="M67" i="26"/>
  <c r="K68" i="24"/>
  <c r="O88" i="33"/>
  <c r="K143" i="16"/>
  <c r="O78" i="27"/>
  <c r="M81" i="20"/>
  <c r="N73" i="29"/>
  <c r="N42" i="1"/>
  <c r="K33" i="6"/>
  <c r="L126" i="5"/>
  <c r="N73" i="27"/>
  <c r="O46" i="11"/>
  <c r="M180" i="19"/>
  <c r="O174" i="18"/>
  <c r="O10" i="6"/>
  <c r="O5" i="27"/>
  <c r="L85" i="17"/>
  <c r="L155" i="22"/>
  <c r="M139"/>
  <c r="K142" i="17"/>
  <c r="L137" i="33"/>
  <c r="N107" i="23"/>
  <c r="K10"/>
  <c r="M160" i="12"/>
  <c r="M176" i="6"/>
  <c r="M117" i="4"/>
  <c r="O129" i="23"/>
  <c r="K133" i="33"/>
  <c r="L155" i="10"/>
  <c r="O148" i="1"/>
  <c r="N75" i="15"/>
  <c r="N50" i="18"/>
  <c r="O181" i="21"/>
  <c r="M158" i="25"/>
  <c r="M99" i="3"/>
  <c r="L73" i="5"/>
  <c r="L45" i="9"/>
  <c r="M14" i="30"/>
  <c r="M153"/>
  <c r="K25" i="33"/>
  <c r="N38" i="1"/>
  <c r="O18" i="31"/>
  <c r="N122" i="30"/>
  <c r="L75" i="29"/>
  <c r="L127" i="6"/>
  <c r="O6" i="19"/>
  <c r="K95" i="2"/>
  <c r="L118" i="11"/>
  <c r="N176" i="23"/>
  <c r="N122" i="31"/>
  <c r="M117" i="5"/>
  <c r="N110" i="4"/>
  <c r="K118" i="3"/>
  <c r="K97"/>
  <c r="M111" i="20"/>
  <c r="N171" i="23"/>
  <c r="M153" i="28"/>
  <c r="O86" i="16"/>
  <c r="L121" i="4"/>
  <c r="L75" i="9"/>
  <c r="M125" i="25"/>
  <c r="K169" i="11"/>
  <c r="N99" i="28"/>
  <c r="N66" i="24"/>
  <c r="K85" i="22"/>
  <c r="M84" i="15"/>
  <c r="O96" i="30"/>
  <c r="K113" i="28"/>
  <c r="N8" i="32"/>
  <c r="O14" i="6"/>
  <c r="N20" i="28"/>
  <c r="O167" i="32"/>
  <c r="K169" i="16"/>
  <c r="L56" i="5"/>
  <c r="M144" i="19"/>
  <c r="L38" i="33"/>
  <c r="M11" i="32"/>
  <c r="K100" i="4"/>
  <c r="L34" i="26"/>
  <c r="N94" i="18"/>
  <c r="L57" i="17"/>
  <c r="O158" i="23"/>
  <c r="M183" i="16"/>
  <c r="O149" i="26"/>
  <c r="M8" i="28"/>
  <c r="O162"/>
  <c r="O10" i="24"/>
  <c r="M140" i="12"/>
  <c r="L88" i="11"/>
  <c r="M5" i="29"/>
  <c r="M106" i="25"/>
  <c r="K148" i="26"/>
  <c r="K126" i="25"/>
  <c r="O65" i="31"/>
  <c r="N73" i="20"/>
  <c r="K54" i="2"/>
  <c r="L39" i="20"/>
  <c r="N37"/>
  <c r="L33" i="29"/>
  <c r="O128" i="18"/>
  <c r="O149" i="15"/>
  <c r="K44" i="20"/>
  <c r="O163" i="3"/>
  <c r="K131" i="23"/>
  <c r="N147" i="19"/>
  <c r="K169" i="20"/>
  <c r="N89" i="4"/>
  <c r="M184" i="2"/>
  <c r="K73" i="9"/>
  <c r="L130" i="29"/>
  <c r="M150" i="28"/>
  <c r="M174" i="16"/>
  <c r="M147" i="26"/>
  <c r="M51" i="30"/>
  <c r="N151" i="16"/>
  <c r="N54" i="17"/>
  <c r="N133" i="29"/>
  <c r="K47" i="2"/>
  <c r="M85" i="15"/>
  <c r="M36" i="24"/>
  <c r="L165" i="1"/>
  <c r="M18" i="26"/>
  <c r="L179" i="3"/>
  <c r="K102" i="2"/>
  <c r="O120" i="23"/>
  <c r="L134" i="9"/>
  <c r="M159" i="16"/>
  <c r="M127" i="9"/>
  <c r="O171" i="15"/>
  <c r="K88" i="11"/>
  <c r="M56" i="33"/>
  <c r="M116" i="24"/>
  <c r="O92" i="9"/>
  <c r="K94" i="12"/>
  <c r="O150" i="4"/>
  <c r="K92" i="24"/>
  <c r="M146" i="23"/>
  <c r="O173" i="32"/>
  <c r="L130"/>
  <c r="O173" i="17"/>
  <c r="N39" i="30"/>
  <c r="O166" i="31"/>
  <c r="M89" i="9"/>
  <c r="M161" i="30"/>
  <c r="K152" i="28"/>
  <c r="L60" i="11"/>
  <c r="N38" i="20"/>
  <c r="O129" i="30"/>
  <c r="K81" i="17"/>
  <c r="M72" i="19"/>
  <c r="O71" i="31"/>
  <c r="O43" i="26"/>
  <c r="K185" i="21"/>
  <c r="K163" i="12"/>
  <c r="M58" i="1"/>
  <c r="L4" i="20"/>
  <c r="N144" i="24"/>
  <c r="L100" i="31"/>
  <c r="N165" i="27"/>
  <c r="M28" i="15"/>
  <c r="N51" i="4"/>
  <c r="L76" i="25"/>
  <c r="O150" i="17"/>
  <c r="L23"/>
  <c r="L122" i="26"/>
  <c r="O161" i="25"/>
  <c r="M82" i="12"/>
  <c r="K42" i="18"/>
  <c r="N180"/>
  <c r="M160" i="30"/>
  <c r="K178" i="10"/>
  <c r="M182" i="27"/>
  <c r="O47" i="22"/>
  <c r="L166" i="16"/>
  <c r="L21" i="1"/>
  <c r="M75" i="5"/>
  <c r="M42" i="3"/>
  <c r="K145" i="4"/>
  <c r="L119" i="18"/>
  <c r="L61" i="1"/>
  <c r="O97" i="10"/>
  <c r="M35" i="20"/>
  <c r="O106" i="4"/>
  <c r="N16" i="18"/>
  <c r="M152" i="12"/>
  <c r="O44" i="32"/>
  <c r="M184" i="19"/>
  <c r="O178" i="21"/>
  <c r="K170" i="29"/>
  <c r="N20" i="4"/>
  <c r="O43" i="25"/>
  <c r="N75" i="26"/>
  <c r="O56" i="9"/>
  <c r="K64" i="31"/>
  <c r="K152" i="11"/>
  <c r="K99" i="12"/>
  <c r="O15" i="20"/>
  <c r="M67" i="32"/>
  <c r="N125" i="25"/>
  <c r="K165" i="10"/>
  <c r="N53" i="19"/>
  <c r="K128" i="29"/>
  <c r="M126" i="1"/>
  <c r="K51" i="17"/>
  <c r="N85" i="6"/>
  <c r="M116" i="4"/>
  <c r="N185" i="18"/>
  <c r="K65" i="15"/>
  <c r="M116" i="28"/>
  <c r="L102" i="25"/>
  <c r="M126" i="26"/>
  <c r="L11" i="31"/>
  <c r="O40" i="17"/>
  <c r="M177" i="4"/>
  <c r="N110" i="10"/>
  <c r="O82" i="17"/>
  <c r="O5" i="22"/>
  <c r="N182" i="4"/>
  <c r="K93" i="24"/>
  <c r="L98" i="20"/>
  <c r="O166" i="1"/>
  <c r="M74" i="25"/>
  <c r="K137" i="16"/>
  <c r="K60" i="19"/>
  <c r="N122" i="21"/>
  <c r="L135" i="16"/>
  <c r="K133" i="22"/>
  <c r="L75" i="2"/>
  <c r="M132" i="22"/>
  <c r="N49" i="3"/>
  <c r="O115" i="11"/>
  <c r="N161" i="24"/>
  <c r="O146" i="21"/>
  <c r="M95" i="28"/>
  <c r="M50" i="16"/>
  <c r="O96" i="20"/>
  <c r="K107" i="23"/>
  <c r="O179" i="21"/>
  <c r="N106" i="18"/>
  <c r="L154" i="11"/>
  <c r="K40" i="17"/>
  <c r="M34" i="5"/>
  <c r="L82" i="26"/>
  <c r="L123" i="15"/>
  <c r="N162" i="23"/>
  <c r="M95" i="9"/>
  <c r="N151" i="31"/>
  <c r="M130" i="24"/>
  <c r="M38" i="2"/>
  <c r="L136" i="3"/>
  <c r="O173" i="21"/>
  <c r="O184" i="24"/>
  <c r="L143" i="26"/>
  <c r="K159" i="19"/>
  <c r="L168" i="16"/>
  <c r="K116" i="17"/>
  <c r="L46" i="21"/>
  <c r="K158" i="28"/>
  <c r="N61" i="32"/>
  <c r="M66" i="27"/>
  <c r="L170" i="18"/>
  <c r="K3" i="21"/>
  <c r="M80" i="18"/>
  <c r="K180" i="29"/>
  <c r="O94" i="33"/>
  <c r="L121" i="1"/>
  <c r="O14" i="31"/>
  <c r="M63" i="9"/>
  <c r="K110" i="33"/>
  <c r="M106" i="29"/>
  <c r="M161" i="24"/>
  <c r="K99" i="21"/>
  <c r="O5" i="4"/>
  <c r="K75" i="21"/>
  <c r="K157" i="22"/>
  <c r="N140" i="18"/>
  <c r="O176" i="24"/>
  <c r="O24" i="3"/>
  <c r="N38" i="15"/>
  <c r="N180"/>
  <c r="L181" i="1"/>
  <c r="L87" i="27"/>
  <c r="L67" i="33"/>
  <c r="O97" i="19"/>
  <c r="K181" i="32"/>
  <c r="O15" i="17"/>
  <c r="K136" i="3"/>
  <c r="M113"/>
  <c r="M102" i="9"/>
  <c r="N148"/>
  <c r="N183" i="17"/>
  <c r="N31" i="2"/>
  <c r="O52" i="12"/>
  <c r="O73" i="33"/>
  <c r="O182" i="4"/>
  <c r="L136" i="1"/>
  <c r="L54" i="16"/>
  <c r="O66" i="29"/>
  <c r="N155" i="30"/>
  <c r="M141" i="22"/>
  <c r="K154" i="21"/>
  <c r="O185" i="23"/>
  <c r="K91" i="32"/>
  <c r="N72" i="11"/>
  <c r="M19" i="1"/>
  <c r="L52" i="23"/>
  <c r="N80"/>
  <c r="K120" i="3"/>
  <c r="L163" i="27"/>
  <c r="L60" i="18"/>
  <c r="M150" i="26"/>
  <c r="L126" i="11"/>
  <c r="M37" i="30"/>
  <c r="O176" i="12"/>
  <c r="M25" i="17"/>
  <c r="K159" i="16"/>
  <c r="O38" i="1"/>
  <c r="M18" i="27"/>
  <c r="L93" i="2"/>
  <c r="K108" i="25"/>
  <c r="K28" i="26"/>
  <c r="M111" i="21"/>
  <c r="O96" i="22"/>
  <c r="O85" i="23"/>
  <c r="L84" i="29"/>
  <c r="L174" i="24"/>
  <c r="M168" i="10"/>
  <c r="M21" i="1"/>
  <c r="M125" i="19"/>
  <c r="K172" i="30"/>
  <c r="M76" i="20"/>
  <c r="O52" i="30"/>
  <c r="O47" i="4"/>
  <c r="O18" i="2"/>
  <c r="L5"/>
  <c r="L14" i="15"/>
  <c r="M19" i="28"/>
  <c r="M134" i="5"/>
  <c r="L106" i="2"/>
  <c r="K174" i="3"/>
  <c r="M123" i="11"/>
  <c r="L152" i="29"/>
  <c r="L42" i="10"/>
  <c r="N49" i="6"/>
  <c r="L129" i="11"/>
  <c r="N174"/>
  <c r="O181" i="5"/>
  <c r="L34" i="3"/>
  <c r="L73" i="27"/>
  <c r="N137" i="11"/>
  <c r="M49" i="6"/>
  <c r="M131" i="11"/>
  <c r="N107" i="25"/>
  <c r="L84" i="31"/>
  <c r="N33" i="18"/>
  <c r="M24" i="26"/>
  <c r="K177" i="22"/>
  <c r="L46" i="9"/>
  <c r="K89" i="26"/>
  <c r="N64" i="19"/>
  <c r="K136" i="22"/>
  <c r="K160" i="16"/>
  <c r="O181" i="6"/>
  <c r="N47" i="29"/>
  <c r="L174" i="21"/>
  <c r="N116" i="12"/>
  <c r="O71" i="24"/>
  <c r="L92" i="26"/>
  <c r="N159" i="24"/>
  <c r="N99" i="21"/>
  <c r="K97" i="17"/>
  <c r="K158" i="33"/>
  <c r="N125" i="10"/>
  <c r="M145" i="27"/>
  <c r="M81" i="17"/>
  <c r="L19" i="19"/>
  <c r="O101" i="4"/>
  <c r="K129" i="3"/>
  <c r="N14" i="17"/>
  <c r="O24" i="10"/>
  <c r="M91" i="6"/>
  <c r="N185" i="23"/>
  <c r="M9" i="12"/>
  <c r="K122" i="5"/>
  <c r="M128" i="32"/>
  <c r="M110" i="19"/>
  <c r="N135" i="32"/>
  <c r="M109" i="12"/>
  <c r="O108" i="22"/>
  <c r="L45" i="6"/>
  <c r="M42" i="32"/>
  <c r="M87" i="22"/>
  <c r="M173" i="27"/>
  <c r="K98" i="23"/>
  <c r="L42" i="1"/>
  <c r="L166" i="2"/>
  <c r="K157" i="18"/>
  <c r="K91" i="27"/>
  <c r="K56" i="15"/>
  <c r="M136" i="20"/>
  <c r="M66" i="33"/>
  <c r="N59" i="25"/>
  <c r="M97" i="29"/>
  <c r="K119" i="33"/>
  <c r="N166" i="29"/>
  <c r="K66" i="3"/>
  <c r="O127" i="18"/>
  <c r="O35" i="9"/>
  <c r="O130" i="25"/>
  <c r="N13" i="17"/>
  <c r="O137" i="31"/>
  <c r="L169" i="30"/>
  <c r="N127" i="24"/>
  <c r="K95" i="3"/>
  <c r="M96" i="30"/>
  <c r="M11" i="15"/>
  <c r="L65" i="21"/>
  <c r="L166" i="5"/>
  <c r="M165" i="24"/>
  <c r="K158" i="32"/>
  <c r="N75" i="20"/>
  <c r="N8" i="15"/>
  <c r="K80" i="3"/>
  <c r="O144" i="1"/>
  <c r="O109" i="5"/>
  <c r="N127" i="16"/>
  <c r="L60" i="22"/>
  <c r="K185" i="30"/>
  <c r="N146" i="31"/>
  <c r="O145" i="22"/>
  <c r="N24" i="17"/>
  <c r="M88" i="23"/>
  <c r="L13" i="17"/>
  <c r="N130" i="29"/>
  <c r="N126" i="2"/>
  <c r="L136" i="11"/>
  <c r="M133" i="16"/>
  <c r="L59" i="25"/>
  <c r="M185" i="29"/>
  <c r="M119" i="6"/>
  <c r="K126" i="3"/>
  <c r="M122" i="24"/>
  <c r="L160" i="15"/>
  <c r="L81" i="18"/>
  <c r="L23" i="29"/>
  <c r="N85" i="10"/>
  <c r="K63" i="5"/>
  <c r="K26" i="4"/>
  <c r="N158" i="9"/>
  <c r="L36" i="1"/>
  <c r="M72" i="6"/>
  <c r="M158" i="32"/>
  <c r="K163" i="16"/>
  <c r="O142" i="19"/>
  <c r="L8" i="33"/>
  <c r="O67" i="23"/>
  <c r="L85" i="27"/>
  <c r="L141" i="18"/>
  <c r="O16" i="4"/>
  <c r="K95" i="29"/>
  <c r="L125" i="30"/>
  <c r="O176" i="6"/>
  <c r="K96" i="21"/>
  <c r="M127" i="30"/>
  <c r="O118" i="11"/>
  <c r="N81" i="9"/>
  <c r="O74" i="15"/>
  <c r="O154" i="22"/>
  <c r="M184" i="26"/>
  <c r="N173" i="2"/>
  <c r="K26" i="25"/>
  <c r="L153" i="27"/>
  <c r="N14" i="32"/>
  <c r="L68" i="16"/>
  <c r="O87" i="2"/>
  <c r="O75" i="22"/>
  <c r="L158" i="11"/>
  <c r="M37" i="32"/>
  <c r="O120" i="1"/>
  <c r="K166"/>
  <c r="N176" i="3"/>
  <c r="L114" i="17"/>
  <c r="O46" i="12"/>
  <c r="N89" i="21"/>
  <c r="O180" i="5"/>
  <c r="N106" i="9"/>
  <c r="L74" i="33"/>
  <c r="K107" i="15"/>
  <c r="N149" i="31"/>
  <c r="M125" i="11"/>
  <c r="K68" i="18"/>
  <c r="K128" i="10"/>
  <c r="L120"/>
  <c r="N145"/>
  <c r="L85" i="23"/>
  <c r="M106" i="2"/>
  <c r="N35" i="19"/>
  <c r="K161" i="17"/>
  <c r="N57" i="19"/>
  <c r="O169" i="21"/>
  <c r="N177" i="12"/>
  <c r="M57" i="6"/>
  <c r="O168" i="10"/>
  <c r="K9" i="29"/>
  <c r="M117" i="1"/>
  <c r="M78" i="27"/>
  <c r="N106" i="26"/>
  <c r="O85" i="3"/>
  <c r="K99" i="27"/>
  <c r="K24" i="1"/>
  <c r="M184" i="5"/>
  <c r="O147" i="31"/>
  <c r="O53" i="3"/>
  <c r="K66" i="2"/>
  <c r="K61" i="20"/>
  <c r="L142" i="9"/>
  <c r="M81" i="28"/>
  <c r="N117" i="4"/>
  <c r="O170" i="22"/>
  <c r="N10" i="6"/>
  <c r="O63" i="16"/>
  <c r="M78" i="17"/>
  <c r="O131" i="33"/>
  <c r="N37" i="11"/>
  <c r="K76" i="2"/>
  <c r="N100" i="25"/>
  <c r="M19" i="20"/>
  <c r="M96" i="28"/>
  <c r="M5" i="23"/>
  <c r="M96" i="2"/>
  <c r="K20" i="3"/>
  <c r="N147" i="33"/>
  <c r="N129" i="9"/>
  <c r="O42" i="17"/>
  <c r="M37" i="23"/>
  <c r="M154" i="22"/>
  <c r="O141" i="16"/>
  <c r="N88" i="25"/>
  <c r="N101" i="31"/>
  <c r="K37" i="5"/>
  <c r="M147" i="15"/>
  <c r="L117" i="11"/>
  <c r="K28" i="33"/>
  <c r="M33" i="15"/>
  <c r="L128" i="9"/>
  <c r="K45" i="10"/>
  <c r="K26" i="31"/>
  <c r="O82" i="27"/>
  <c r="K6" i="21"/>
  <c r="L47" i="15"/>
  <c r="K63" i="26"/>
  <c r="M112" i="32"/>
  <c r="N71" i="19"/>
  <c r="N183" i="1"/>
  <c r="M152" i="9"/>
  <c r="O140" i="17"/>
  <c r="K56" i="28"/>
  <c r="K43" i="6"/>
  <c r="M144" i="12"/>
  <c r="K92" i="16"/>
  <c r="O116" i="32"/>
  <c r="L63" i="17"/>
  <c r="N137" i="30"/>
  <c r="N6" i="23"/>
  <c r="O46" i="22"/>
  <c r="O63" i="9"/>
  <c r="K118" i="17"/>
  <c r="L114" i="3"/>
  <c r="N183" i="16"/>
  <c r="K185" i="22"/>
  <c r="L177" i="20"/>
  <c r="N114" i="17"/>
  <c r="O19" i="32"/>
  <c r="K107" i="17"/>
  <c r="O44"/>
  <c r="K134" i="25"/>
  <c r="K120" i="17"/>
  <c r="M144" i="6"/>
  <c r="K142" i="4"/>
  <c r="O11" i="29"/>
  <c r="L28" i="28"/>
  <c r="M97" i="1"/>
  <c r="O65" i="9"/>
  <c r="N165" i="23"/>
  <c r="O50" i="27"/>
  <c r="M45" i="28"/>
  <c r="O142" i="31"/>
  <c r="O140" i="22"/>
  <c r="N38" i="33"/>
  <c r="K3" i="25"/>
  <c r="K74" i="4"/>
  <c r="K160" i="33"/>
  <c r="M143" i="22"/>
  <c r="N36" i="6"/>
  <c r="M111" i="3"/>
  <c r="O42" i="33"/>
  <c r="M42" i="31"/>
  <c r="L88" i="28"/>
  <c r="M109" i="4"/>
  <c r="L45" i="22"/>
  <c r="O51" i="17"/>
  <c r="K130" i="26"/>
  <c r="K101" i="23"/>
  <c r="N63" i="22"/>
  <c r="K115" i="4"/>
  <c r="L80" i="5"/>
  <c r="K153" i="32"/>
  <c r="L107" i="22"/>
  <c r="L79" i="16"/>
  <c r="O151" i="30"/>
  <c r="O163" i="5"/>
  <c r="O151" i="32"/>
  <c r="M10" i="22"/>
  <c r="L127" i="9"/>
  <c r="L93" i="31"/>
  <c r="L3" i="27"/>
  <c r="O38" i="16"/>
  <c r="K63" i="31"/>
  <c r="M57" i="22"/>
  <c r="M169" i="18"/>
  <c r="M148" i="29"/>
  <c r="N148" i="17"/>
  <c r="M66" i="11"/>
  <c r="N148" i="25"/>
  <c r="M110" i="16"/>
  <c r="N128" i="2"/>
  <c r="K31" i="23"/>
  <c r="K33" i="2"/>
  <c r="K132" i="33"/>
  <c r="N134" i="28"/>
  <c r="K96" i="23"/>
  <c r="N184" i="28"/>
  <c r="L129" i="22"/>
  <c r="M121" i="9"/>
  <c r="M15"/>
  <c r="K79" i="18"/>
  <c r="L39" i="25"/>
  <c r="L91" i="23"/>
  <c r="L89" i="9"/>
  <c r="O162" i="17"/>
  <c r="N87" i="22"/>
  <c r="M132" i="23"/>
  <c r="M127" i="2"/>
  <c r="M34" i="26"/>
  <c r="L169" i="23"/>
  <c r="N58" i="30"/>
  <c r="L63" i="11"/>
  <c r="L165" i="33"/>
  <c r="K132" i="23"/>
  <c r="M159" i="4"/>
  <c r="M45" i="1"/>
  <c r="O139" i="16"/>
  <c r="N177" i="33"/>
  <c r="K166" i="31"/>
  <c r="N33" i="6"/>
  <c r="L57" i="9"/>
  <c r="L81" i="27"/>
  <c r="K10" i="6"/>
  <c r="N73" i="31"/>
  <c r="N127" i="30"/>
  <c r="N152" i="33"/>
  <c r="L116" i="24"/>
  <c r="N99" i="22"/>
  <c r="M89" i="27"/>
  <c r="M52" i="19"/>
  <c r="K107" i="16"/>
  <c r="K77" i="18"/>
  <c r="N170" i="23"/>
  <c r="O3" i="10"/>
  <c r="L13" i="18"/>
  <c r="K76" i="17"/>
  <c r="L144" i="18"/>
  <c r="M135" i="16"/>
  <c r="M152" i="5"/>
  <c r="N56"/>
  <c r="L139" i="25"/>
  <c r="O110"/>
  <c r="N67" i="21"/>
  <c r="L112" i="25"/>
  <c r="M18" i="12"/>
  <c r="K13" i="22"/>
  <c r="N98" i="29"/>
  <c r="N68" i="23"/>
  <c r="N35" i="18"/>
  <c r="K16" i="16"/>
  <c r="M35" i="31"/>
  <c r="M21" i="19"/>
  <c r="N110" i="32"/>
  <c r="K87" i="9"/>
  <c r="L144" i="6"/>
  <c r="K5" i="29"/>
  <c r="N148" i="32"/>
  <c r="N26" i="11"/>
  <c r="L45" i="31"/>
  <c r="N19" i="17"/>
  <c r="N72" i="22"/>
  <c r="L185" i="32"/>
  <c r="O125" i="17"/>
  <c r="K76" i="31"/>
  <c r="L19" i="23"/>
  <c r="L40" i="6"/>
  <c r="K109" i="5"/>
  <c r="N39" i="20"/>
  <c r="K149" i="31"/>
  <c r="M49" i="10"/>
  <c r="L148" i="1"/>
  <c r="M57" i="27"/>
  <c r="L80" i="3"/>
  <c r="K173" i="28"/>
  <c r="N33" i="33"/>
  <c r="N152" i="27"/>
  <c r="K129" i="20"/>
  <c r="M153" i="17"/>
  <c r="K147" i="29"/>
  <c r="L60" i="28"/>
  <c r="N113" i="20"/>
  <c r="L149" i="25"/>
  <c r="O53" i="9"/>
  <c r="K114" i="18"/>
  <c r="L76" i="6"/>
  <c r="L63" i="9"/>
  <c r="M139" i="19"/>
  <c r="O92" i="1"/>
  <c r="O168" i="6"/>
  <c r="M14" i="27"/>
  <c r="N82" i="21"/>
  <c r="K80" i="23"/>
  <c r="L81" i="1"/>
  <c r="M30" i="19"/>
  <c r="L154" i="6"/>
  <c r="M163" i="23"/>
  <c r="M39" i="11"/>
  <c r="K26" i="23"/>
  <c r="N179" i="18"/>
  <c r="M16" i="4"/>
  <c r="M172" i="1"/>
  <c r="N182" i="19"/>
  <c r="M158" i="26"/>
  <c r="N91" i="3"/>
  <c r="L145" i="5"/>
  <c r="N87" i="17"/>
  <c r="N181" i="11"/>
  <c r="N79" i="23"/>
  <c r="K162" i="10"/>
  <c r="N165" i="24"/>
  <c r="L119" i="6"/>
  <c r="O97" i="4"/>
  <c r="N151" i="15"/>
  <c r="L23" i="10"/>
  <c r="O53" i="29"/>
  <c r="N23" i="4"/>
  <c r="K58" i="16"/>
  <c r="N113" i="33"/>
  <c r="K109" i="21"/>
  <c r="O50" i="29"/>
  <c r="L24" i="30"/>
  <c r="O140" i="6"/>
  <c r="N172" i="10"/>
  <c r="O80" i="24"/>
  <c r="N6" i="32"/>
  <c r="K28" i="16"/>
  <c r="N28" i="5"/>
  <c r="N13" i="19"/>
  <c r="M33" i="32"/>
  <c r="O88" i="21"/>
  <c r="M139" i="17"/>
  <c r="N185" i="22"/>
  <c r="N34" i="3"/>
  <c r="K170"/>
  <c r="N4" i="23"/>
  <c r="L6" i="19"/>
  <c r="M20" i="21"/>
  <c r="M61" i="4"/>
  <c r="N157" i="23"/>
  <c r="K86" i="19"/>
  <c r="K140" i="20"/>
  <c r="K136" i="10"/>
  <c r="L37" i="31"/>
  <c r="K140" i="32"/>
  <c r="M71" i="5"/>
  <c r="O19" i="1"/>
  <c r="M97" i="32"/>
  <c r="L135" i="10"/>
  <c r="N67" i="11"/>
  <c r="M146" i="22"/>
  <c r="K61" i="4"/>
  <c r="K139" i="29"/>
  <c r="O37" i="23"/>
  <c r="N75" i="6"/>
  <c r="O167" i="33"/>
  <c r="O126" i="6"/>
  <c r="K126" i="16"/>
  <c r="O111" i="32"/>
  <c r="O50" i="30"/>
  <c r="O157" i="15"/>
  <c r="K35" i="20"/>
  <c r="L74" i="25"/>
  <c r="M165" i="10"/>
  <c r="M147" i="3"/>
  <c r="K8" i="9"/>
  <c r="N34" i="15"/>
  <c r="K49" i="27"/>
  <c r="O23" i="5"/>
  <c r="O152" i="31"/>
  <c r="K180" i="6"/>
  <c r="M101" i="1"/>
  <c r="L6" i="27"/>
  <c r="L43" i="10"/>
  <c r="O52" i="16"/>
  <c r="L28" i="11"/>
  <c r="M37" i="33"/>
  <c r="N26" i="1"/>
  <c r="K85" i="32"/>
  <c r="K87" i="31"/>
  <c r="M130" i="5"/>
  <c r="O150" i="1"/>
  <c r="L15" i="22"/>
  <c r="M8" i="31"/>
  <c r="M141" i="28"/>
  <c r="L59" i="31"/>
  <c r="L149" i="16"/>
  <c r="M89" i="33"/>
  <c r="K145" i="18"/>
  <c r="O134" i="20"/>
  <c r="K140" i="5"/>
  <c r="K172" i="32"/>
  <c r="L58" i="1"/>
  <c r="N184" i="25"/>
  <c r="K150" i="17"/>
  <c r="M25" i="30"/>
  <c r="O76" i="19"/>
  <c r="N170" i="4"/>
  <c r="N99" i="29"/>
  <c r="K87"/>
  <c r="N115" i="23"/>
  <c r="K166" i="10"/>
  <c r="M183" i="21"/>
  <c r="N51" i="33"/>
  <c r="M178" i="19"/>
  <c r="L71" i="11"/>
  <c r="K120" i="5"/>
  <c r="O81" i="19"/>
  <c r="M128" i="6"/>
  <c r="M57" i="25"/>
  <c r="K117" i="22"/>
  <c r="L67" i="6"/>
  <c r="K69" i="16"/>
  <c r="N150" i="15"/>
  <c r="L91" i="19"/>
  <c r="L185" i="24"/>
  <c r="N5" i="27"/>
  <c r="N35" i="29"/>
  <c r="O107" i="6"/>
  <c r="M107" i="31"/>
  <c r="M98" i="30"/>
  <c r="L65" i="5"/>
  <c r="N3" i="1"/>
  <c r="M35" i="15"/>
  <c r="L81" i="11"/>
  <c r="K148" i="19"/>
  <c r="L160" i="23"/>
  <c r="O59" i="6"/>
  <c r="K68" i="5"/>
  <c r="N117" i="25"/>
  <c r="M183" i="17"/>
  <c r="O43" i="27"/>
  <c r="L11" i="15"/>
  <c r="O166" i="10"/>
  <c r="N125" i="1"/>
  <c r="L85" i="31"/>
  <c r="O129" i="2"/>
  <c r="M148" i="22"/>
  <c r="L108" i="19"/>
  <c r="M147" i="20"/>
  <c r="L34" i="17"/>
  <c r="K117" i="12"/>
  <c r="K172" i="23"/>
  <c r="O142" i="27"/>
  <c r="O63" i="15"/>
  <c r="L68" i="33"/>
  <c r="N154" i="6"/>
  <c r="L50" i="33"/>
  <c r="M56" i="2"/>
  <c r="O6" i="3"/>
  <c r="L183"/>
  <c r="L102" i="32"/>
  <c r="L86" i="18"/>
  <c r="M63" i="12"/>
  <c r="N23" i="28"/>
  <c r="K157" i="15"/>
  <c r="K86" i="16"/>
  <c r="M39" i="17"/>
  <c r="O116" i="18"/>
  <c r="M80" i="29"/>
  <c r="M79" i="18"/>
  <c r="L15" i="30"/>
  <c r="L72" i="10"/>
  <c r="N93" i="20"/>
  <c r="O121" i="15"/>
  <c r="L99" i="3"/>
  <c r="K56" i="5"/>
  <c r="N185" i="16"/>
  <c r="O116" i="27"/>
  <c r="L89" i="17"/>
  <c r="N137" i="23"/>
  <c r="N9" i="17"/>
  <c r="O81" i="10"/>
  <c r="K78" i="30"/>
  <c r="K13" i="18"/>
  <c r="K42" i="1"/>
  <c r="N87" i="16"/>
  <c r="O85" i="4"/>
  <c r="O79" i="21"/>
  <c r="O81" i="27"/>
  <c r="N15" i="31"/>
  <c r="N114" i="4"/>
  <c r="N19" i="3"/>
  <c r="O127" i="17"/>
  <c r="O171" i="23"/>
  <c r="N11" i="9"/>
  <c r="L88" i="29"/>
  <c r="O106" i="15"/>
  <c r="L47" i="24"/>
  <c r="L96" i="29"/>
  <c r="L21" i="2"/>
  <c r="L10" i="25"/>
  <c r="K72" i="24"/>
  <c r="L52" i="26"/>
  <c r="N179" i="16"/>
  <c r="O122" i="33"/>
  <c r="O84" i="32"/>
  <c r="M78" i="15"/>
  <c r="M8" i="16"/>
  <c r="K126" i="30"/>
  <c r="O135" i="21"/>
  <c r="N8" i="19"/>
  <c r="L176" i="21"/>
  <c r="O64" i="16"/>
  <c r="K36" i="4"/>
  <c r="K28"/>
  <c r="M115" i="9"/>
  <c r="K24" i="15"/>
  <c r="L110" i="30"/>
  <c r="K10" i="3"/>
  <c r="N133" i="12"/>
  <c r="O120" i="32"/>
  <c r="M34" i="6"/>
  <c r="N134" i="33"/>
  <c r="M109" i="25"/>
  <c r="N73" i="18"/>
  <c r="N109" i="4"/>
  <c r="K111" i="17"/>
  <c r="M137" i="16"/>
  <c r="M71" i="23"/>
  <c r="M119" i="17"/>
  <c r="O140" i="11"/>
  <c r="L16" i="32"/>
  <c r="O154" i="21"/>
  <c r="O10" i="33"/>
  <c r="M116" i="3"/>
  <c r="O134" i="4"/>
  <c r="L67" i="15"/>
  <c r="O3" i="27"/>
  <c r="O131" i="15"/>
  <c r="O114" i="30"/>
  <c r="M154" i="9"/>
  <c r="N79" i="10"/>
  <c r="M129" i="4"/>
  <c r="N73" i="15"/>
  <c r="O162" i="26"/>
  <c r="L28" i="2"/>
  <c r="M155" i="27"/>
  <c r="K57" i="10"/>
  <c r="M42" i="18"/>
  <c r="O69" i="29"/>
  <c r="M117" i="6"/>
  <c r="L23" i="4"/>
  <c r="L56" i="16"/>
  <c r="M128" i="25"/>
  <c r="K89" i="29"/>
  <c r="M134" i="21"/>
  <c r="K31" i="6"/>
  <c r="K56" i="1"/>
  <c r="K174" i="29"/>
  <c r="L86"/>
  <c r="O159" i="4"/>
  <c r="L67" i="19"/>
  <c r="M106" i="27"/>
  <c r="M29" i="32"/>
  <c r="O61" i="6"/>
  <c r="O95" i="3"/>
  <c r="L45" i="16"/>
  <c r="N112" i="9"/>
  <c r="O14" i="24"/>
  <c r="O14" i="33"/>
  <c r="M96"/>
  <c r="M58" i="10"/>
  <c r="M79" i="1"/>
  <c r="M69" i="29"/>
  <c r="K52" i="3"/>
  <c r="L171" i="30"/>
  <c r="M58"/>
  <c r="L177" i="27"/>
  <c r="L166" i="20"/>
  <c r="N114" i="9"/>
  <c r="O126" i="20"/>
  <c r="N11" i="16"/>
  <c r="L173" i="33"/>
  <c r="O33" i="31"/>
  <c r="O163" i="12"/>
  <c r="M184" i="24"/>
  <c r="N40" i="15"/>
  <c r="N14" i="19"/>
  <c r="O150" i="33"/>
  <c r="L128" i="17"/>
  <c r="O174" i="11"/>
  <c r="N57" i="25"/>
  <c r="K38" i="15"/>
  <c r="K21" i="26"/>
  <c r="K110" i="24"/>
  <c r="O128" i="5"/>
  <c r="K69" i="4"/>
  <c r="N147" i="17"/>
  <c r="M71" i="33"/>
  <c r="O85" i="16"/>
  <c r="M92" i="31"/>
  <c r="L179" i="26"/>
  <c r="L117" i="20"/>
  <c r="O121" i="9"/>
  <c r="M118" i="27"/>
  <c r="O23" i="26"/>
  <c r="N75" i="12"/>
  <c r="K36" i="30"/>
  <c r="O172" i="15"/>
  <c r="O122" i="28"/>
  <c r="M112" i="29"/>
  <c r="L140" i="16"/>
  <c r="O84" i="22"/>
  <c r="N91" i="15"/>
  <c r="K121" i="6"/>
  <c r="L120" i="15"/>
  <c r="L135" i="4"/>
  <c r="L9" i="33"/>
  <c r="K75" i="6"/>
  <c r="L44" i="11"/>
  <c r="M45" i="5"/>
  <c r="M171" i="6"/>
  <c r="O134" i="12"/>
  <c r="L126"/>
  <c r="O50" i="16"/>
  <c r="N182" i="12"/>
  <c r="O33" i="18"/>
  <c r="N44" i="12"/>
  <c r="L161" i="31"/>
  <c r="O36" i="4"/>
  <c r="L136" i="18"/>
  <c r="L131" i="28"/>
  <c r="M16" i="19"/>
  <c r="L59" i="10"/>
  <c r="K97" i="20"/>
  <c r="N98" i="33"/>
  <c r="N31" i="12"/>
  <c r="L56" i="22"/>
  <c r="M171" i="25"/>
  <c r="L162" i="10"/>
  <c r="N31" i="31"/>
  <c r="K151" i="4"/>
  <c r="L13" i="15"/>
  <c r="K77" i="6"/>
  <c r="K161" i="29"/>
  <c r="N76" i="26"/>
  <c r="L56" i="31"/>
  <c r="M76" i="26"/>
  <c r="K39" i="33"/>
  <c r="L29" i="23"/>
  <c r="L84" i="24"/>
  <c r="O183" i="5"/>
  <c r="O88" i="24"/>
  <c r="M8" i="19"/>
  <c r="O54" i="18"/>
  <c r="N56" i="21"/>
  <c r="M115" i="10"/>
  <c r="L100" i="26"/>
  <c r="M163" i="1"/>
  <c r="O118" i="2"/>
  <c r="K20" i="26"/>
  <c r="M143" i="20"/>
  <c r="L148" i="31"/>
  <c r="O20" i="32"/>
  <c r="K135" i="30"/>
  <c r="K73" i="11"/>
  <c r="O31" i="12"/>
  <c r="L80" i="29"/>
  <c r="L117" i="33"/>
  <c r="O118" i="31"/>
  <c r="L162" i="9"/>
  <c r="K151" i="28"/>
  <c r="L67" i="9"/>
  <c r="O76" i="31"/>
  <c r="M77" i="33"/>
  <c r="N160" i="23"/>
  <c r="L147"/>
  <c r="M151" i="33"/>
  <c r="M31" i="30"/>
  <c r="L152" i="23"/>
  <c r="L65" i="27"/>
  <c r="K47" i="31"/>
  <c r="K111" i="22"/>
  <c r="K45" i="32"/>
  <c r="K47" i="23"/>
  <c r="N121" i="4"/>
  <c r="M137" i="20"/>
  <c r="M118" i="24"/>
  <c r="K19" i="6"/>
  <c r="O185" i="29"/>
  <c r="K117" i="31"/>
  <c r="N166" i="25"/>
  <c r="N75" i="33"/>
  <c r="K180" i="2"/>
  <c r="O106" i="24"/>
  <c r="O125" i="23"/>
  <c r="L23"/>
  <c r="N60" i="31"/>
  <c r="K98" i="25"/>
  <c r="L160" i="3"/>
  <c r="K178"/>
  <c r="K140" i="18"/>
  <c r="M166" i="19"/>
  <c r="L50" i="27"/>
  <c r="N15" i="16"/>
  <c r="L147" i="6"/>
  <c r="K57" i="25"/>
  <c r="L26" i="30"/>
  <c r="K46" i="4"/>
  <c r="L61" i="29"/>
  <c r="O123" i="5"/>
  <c r="M137" i="21"/>
  <c r="L155" i="15"/>
  <c r="K100" i="32"/>
  <c r="L166" i="9"/>
  <c r="L51" i="29"/>
  <c r="N14" i="1"/>
  <c r="K4" i="27"/>
  <c r="L19" i="2"/>
  <c r="N163" i="18"/>
  <c r="L167" i="5"/>
  <c r="L125" i="11"/>
  <c r="K113" i="27"/>
  <c r="N129" i="28"/>
  <c r="N68" i="29"/>
  <c r="K23" i="31"/>
  <c r="N110" i="1"/>
  <c r="N118" i="20"/>
  <c r="N184" i="22"/>
  <c r="O113" i="27"/>
  <c r="K6" i="24"/>
  <c r="O64" i="6"/>
  <c r="O142" i="32"/>
  <c r="N113" i="10"/>
  <c r="N20" i="18"/>
  <c r="M121" i="17"/>
  <c r="N87" i="10"/>
  <c r="O129" i="6"/>
  <c r="K125" i="5"/>
  <c r="L148" i="11"/>
  <c r="L106"/>
  <c r="L161" i="5"/>
  <c r="O181" i="33"/>
  <c r="O146" i="23"/>
  <c r="M102" i="22"/>
  <c r="N18" i="9"/>
  <c r="O81" i="23"/>
  <c r="O137" i="19"/>
  <c r="L37" i="9"/>
  <c r="N60" i="11"/>
  <c r="O11" i="6"/>
  <c r="K25" i="4"/>
  <c r="L118" i="5"/>
  <c r="L153" i="30"/>
  <c r="L54" i="10"/>
  <c r="M66" i="15"/>
  <c r="O111" i="21"/>
  <c r="L117" i="1"/>
  <c r="M122" i="4"/>
  <c r="L123" i="20"/>
  <c r="O87" i="19"/>
  <c r="N75" i="28"/>
  <c r="N86" i="17"/>
  <c r="O178" i="26"/>
  <c r="K78" i="10"/>
  <c r="O13" i="32"/>
  <c r="O92" i="11"/>
  <c r="M59" i="15"/>
  <c r="O129" i="12"/>
  <c r="K166" i="20"/>
  <c r="O99" i="5"/>
  <c r="K140" i="6"/>
  <c r="L161" i="27"/>
  <c r="K73" i="21"/>
  <c r="M163" i="22"/>
  <c r="O129" i="29"/>
  <c r="L31" i="21"/>
  <c r="M66" i="10"/>
  <c r="N28" i="25"/>
  <c r="L87" i="9"/>
  <c r="K127" i="6"/>
  <c r="N39" i="28"/>
  <c r="M180" i="9"/>
  <c r="N97" i="5"/>
  <c r="L79" i="29"/>
  <c r="N6" i="5"/>
  <c r="K182" i="9"/>
  <c r="L159" i="3"/>
  <c r="K34" i="15"/>
  <c r="N182" i="32"/>
  <c r="O157" i="21"/>
  <c r="K46" i="22"/>
  <c r="O178" i="23"/>
  <c r="K116" i="16"/>
  <c r="L100" i="18"/>
  <c r="M111" i="1"/>
  <c r="O53" i="28"/>
  <c r="N78" i="11"/>
  <c r="L44" i="25"/>
  <c r="O18" i="1"/>
  <c r="K31" i="2"/>
  <c r="L173" i="32"/>
  <c r="O143" i="18"/>
  <c r="L98" i="31"/>
  <c r="L65"/>
  <c r="M112" i="2"/>
  <c r="M19"/>
  <c r="L127" i="23"/>
  <c r="L75" i="11"/>
  <c r="O109" i="6"/>
  <c r="L148"/>
  <c r="M136" i="17"/>
  <c r="M4" i="27"/>
  <c r="N182" i="33"/>
  <c r="N20" i="31"/>
  <c r="K24" i="9"/>
  <c r="L121" i="24"/>
  <c r="N21" i="28"/>
  <c r="N120" i="29"/>
  <c r="L177" i="23"/>
  <c r="K37" i="29"/>
  <c r="M118" i="31"/>
  <c r="N128" i="4"/>
  <c r="O65" i="24"/>
  <c r="N115" i="30"/>
  <c r="M110" i="31"/>
  <c r="O38" i="33"/>
  <c r="O101" i="1"/>
  <c r="O15" i="12"/>
  <c r="K123" i="26"/>
  <c r="N120" i="27"/>
  <c r="L162" i="4"/>
  <c r="K89" i="31"/>
  <c r="L25"/>
  <c r="O8" i="15"/>
  <c r="O24" i="33"/>
  <c r="O180" i="15"/>
  <c r="N159" i="31"/>
  <c r="K33" i="30"/>
  <c r="L121" i="25"/>
  <c r="K88" i="1"/>
  <c r="O47" i="10"/>
  <c r="N185" i="6"/>
  <c r="K46" i="32"/>
  <c r="O69" i="17"/>
  <c r="N66" i="11"/>
  <c r="O114" i="26"/>
  <c r="L133" i="25"/>
  <c r="K72" i="27"/>
  <c r="N163" i="9"/>
  <c r="K147" i="10"/>
  <c r="M40" i="17"/>
  <c r="O5" i="23"/>
  <c r="M44" i="11"/>
  <c r="N180" i="32"/>
  <c r="N65" i="28"/>
  <c r="N50" i="23"/>
  <c r="K13" i="6"/>
  <c r="O169" i="1"/>
  <c r="N84" i="22"/>
  <c r="N33" i="30"/>
  <c r="N49"/>
  <c r="K117" i="10"/>
  <c r="M42" i="6"/>
  <c r="L135" i="29"/>
  <c r="L89" i="3"/>
  <c r="O137" i="33"/>
  <c r="K143" i="25"/>
  <c r="O116" i="4"/>
  <c r="O100" i="30"/>
  <c r="L37" i="17"/>
  <c r="M137" i="12"/>
  <c r="K100" i="18"/>
  <c r="M14" i="33"/>
  <c r="K158" i="24"/>
  <c r="N117" i="18"/>
  <c r="O54" i="33"/>
  <c r="N33" i="27"/>
  <c r="O162" i="6"/>
  <c r="O143" i="32"/>
  <c r="K38" i="5"/>
  <c r="L180" i="30"/>
  <c r="K129" i="25"/>
  <c r="L116" i="29"/>
  <c r="L51" i="20"/>
  <c r="M185" i="32"/>
  <c r="O172" i="30"/>
  <c r="M185" i="24"/>
  <c r="L13" i="5"/>
  <c r="N151" i="12"/>
  <c r="M161" i="27"/>
  <c r="L65" i="11"/>
  <c r="K117" i="21"/>
  <c r="M99" i="33"/>
  <c r="M26" i="32"/>
  <c r="N169" i="23"/>
  <c r="K159" i="28"/>
  <c r="M61" i="32"/>
  <c r="O96" i="25"/>
  <c r="K112" i="10"/>
  <c r="M139" i="33"/>
  <c r="M10" i="24"/>
  <c r="K141" i="25"/>
  <c r="M125" i="10"/>
  <c r="M140" i="5"/>
  <c r="L130" i="11"/>
  <c r="O13" i="21"/>
  <c r="K76" i="6"/>
  <c r="L57" i="29"/>
  <c r="N142" i="17"/>
  <c r="K99" i="3"/>
  <c r="O139"/>
  <c r="K33" i="9"/>
  <c r="K51" i="6"/>
  <c r="O26" i="12"/>
  <c r="L113" i="25"/>
  <c r="K115" i="32"/>
  <c r="N37" i="31"/>
  <c r="K174" i="26"/>
  <c r="M45" i="32"/>
  <c r="L76" i="3"/>
  <c r="M92" i="16"/>
  <c r="O147" i="21"/>
  <c r="L166" i="30"/>
  <c r="K163" i="1"/>
  <c r="N102" i="33"/>
  <c r="N15" i="32"/>
  <c r="O160" i="11"/>
  <c r="L59" i="23"/>
  <c r="M38" i="28"/>
  <c r="K94" i="21"/>
  <c r="M28" i="18"/>
  <c r="O66" i="16"/>
  <c r="M128" i="26"/>
  <c r="K35" i="10"/>
  <c r="K101" i="28"/>
  <c r="M64" i="30"/>
  <c r="O119" i="10"/>
  <c r="N52" i="23"/>
  <c r="N42" i="20"/>
  <c r="L89" i="22"/>
  <c r="L21" i="17"/>
  <c r="L4"/>
  <c r="O10" i="27"/>
  <c r="M94" i="32"/>
  <c r="O115" i="31"/>
  <c r="L112" i="3"/>
  <c r="N26" i="28"/>
  <c r="O180" i="32"/>
  <c r="K81" i="5"/>
  <c r="O173" i="20"/>
  <c r="L174" i="19"/>
  <c r="M163" i="17"/>
  <c r="M28"/>
  <c r="N110" i="31"/>
  <c r="L102" i="22"/>
  <c r="L42" i="19"/>
  <c r="M116" i="11"/>
  <c r="K21" i="9"/>
  <c r="O106" i="31"/>
  <c r="O125" i="2"/>
  <c r="K102" i="5"/>
  <c r="M89" i="25"/>
  <c r="N49" i="5"/>
  <c r="O9" i="28"/>
  <c r="M42" i="33"/>
  <c r="K155" i="6"/>
  <c r="O24" i="30"/>
  <c r="N24" i="18"/>
  <c r="K98" i="20"/>
  <c r="M10" i="25"/>
  <c r="O78" i="23"/>
  <c r="M84" i="33"/>
  <c r="O53" i="6"/>
  <c r="O24" i="21"/>
  <c r="N132" i="16"/>
  <c r="M79" i="10"/>
  <c r="O20" i="27"/>
  <c r="M60" i="24"/>
  <c r="N139" i="31"/>
  <c r="K121" i="15"/>
  <c r="L16" i="22"/>
  <c r="N154" i="19"/>
  <c r="N68" i="28"/>
  <c r="M136" i="16"/>
  <c r="M158" i="1"/>
  <c r="K115" i="2"/>
  <c r="O63" i="10"/>
  <c r="K49" i="11"/>
  <c r="O112" i="26"/>
  <c r="K80" i="19"/>
  <c r="L40" i="5"/>
  <c r="N141" i="24"/>
  <c r="O125" i="19"/>
  <c r="M45" i="9"/>
  <c r="K159" i="5"/>
  <c r="O63" i="30"/>
  <c r="N132" i="27"/>
  <c r="O111" i="9"/>
  <c r="N65"/>
  <c r="M75" i="24"/>
  <c r="O136" i="15"/>
  <c r="N132" i="21"/>
  <c r="O116" i="1"/>
  <c r="M141" i="30"/>
  <c r="M140" i="27"/>
  <c r="K88" i="30"/>
  <c r="M24" i="20"/>
  <c r="L173" i="5"/>
  <c r="N13" i="9"/>
  <c r="O78" i="29"/>
  <c r="N84" i="9"/>
  <c r="N66" i="10"/>
  <c r="N160" i="30"/>
  <c r="K34" i="11"/>
  <c r="K185" i="3"/>
  <c r="K125" i="9"/>
  <c r="M50" i="11"/>
  <c r="L162" i="32"/>
  <c r="N54" i="18"/>
  <c r="K127" i="1"/>
  <c r="K50" i="10"/>
  <c r="L81" i="16"/>
  <c r="M73" i="17"/>
  <c r="N66" i="3"/>
  <c r="L101" i="15"/>
  <c r="L93" i="16"/>
  <c r="M66" i="28"/>
  <c r="N112" i="23"/>
  <c r="M19" i="3"/>
  <c r="O76" i="23"/>
  <c r="K25" i="3"/>
  <c r="L144" i="1"/>
  <c r="N58" i="24"/>
  <c r="N179" i="23"/>
  <c r="N85" i="3"/>
  <c r="O136" i="32"/>
  <c r="O37" i="4"/>
  <c r="K60" i="6"/>
  <c r="K120" i="22"/>
  <c r="L109" i="3"/>
  <c r="K88" i="5"/>
  <c r="L118" i="1"/>
  <c r="K149" i="25"/>
  <c r="N11" i="32"/>
  <c r="O35" i="31"/>
  <c r="O161" i="3"/>
  <c r="N97" i="22"/>
  <c r="M87" i="1"/>
  <c r="N10" i="25"/>
  <c r="L129" i="16"/>
  <c r="L112" i="15"/>
  <c r="O173" i="22"/>
  <c r="N20" i="3"/>
  <c r="L23" i="30"/>
  <c r="N34" i="17"/>
  <c r="K53" i="11"/>
  <c r="L108" i="30"/>
  <c r="M6" i="27"/>
  <c r="N36" i="31"/>
  <c r="O157" i="26"/>
  <c r="M13" i="12"/>
  <c r="O99"/>
  <c r="O126" i="11"/>
  <c r="N80" i="32"/>
  <c r="K99" i="15"/>
  <c r="L8" i="29"/>
  <c r="M130" i="11"/>
  <c r="O85"/>
  <c r="M73" i="15"/>
  <c r="N167" i="31"/>
  <c r="L85" i="22"/>
  <c r="M91" i="16"/>
  <c r="L140" i="3"/>
  <c r="L35" i="30"/>
  <c r="K158" i="11"/>
  <c r="N31" i="6"/>
  <c r="L171" i="22"/>
  <c r="M122" i="33"/>
  <c r="M94" i="30"/>
  <c r="K130" i="29"/>
  <c r="L132" i="17"/>
  <c r="M61" i="33"/>
  <c r="K153" i="16"/>
  <c r="O157" i="2"/>
  <c r="M78" i="11"/>
  <c r="L182" i="3"/>
  <c r="N82" i="33"/>
  <c r="L88" i="15"/>
  <c r="L4" i="33"/>
  <c r="K76" i="5"/>
  <c r="M82" i="31"/>
  <c r="L118" i="32"/>
  <c r="L101" i="19"/>
  <c r="M63" i="10"/>
  <c r="L16" i="30"/>
  <c r="L111" i="25"/>
  <c r="N153" i="30"/>
  <c r="N19" i="5"/>
  <c r="L113" i="19"/>
  <c r="O64" i="15"/>
  <c r="K173" i="29"/>
  <c r="K152" i="27"/>
  <c r="M18" i="23"/>
  <c r="M76" i="3"/>
  <c r="L154" i="32"/>
  <c r="K37" i="22"/>
  <c r="M109" i="31"/>
  <c r="O118" i="30"/>
  <c r="K78" i="5"/>
  <c r="O179" i="27"/>
  <c r="L178" i="32"/>
  <c r="K95" i="22"/>
  <c r="N118" i="31"/>
  <c r="N152" i="10"/>
  <c r="O14" i="17"/>
  <c r="K114" i="33"/>
  <c r="O181" i="31"/>
  <c r="L60" i="19"/>
  <c r="O58" i="11"/>
  <c r="M179" i="24"/>
  <c r="K80" i="11"/>
  <c r="K46" i="27"/>
  <c r="M160" i="18"/>
  <c r="K91" i="30"/>
  <c r="L36" i="17"/>
  <c r="M137" i="6"/>
  <c r="N170" i="33"/>
  <c r="K8" i="11"/>
  <c r="O116" i="15"/>
  <c r="K159" i="4"/>
  <c r="L28" i="5"/>
  <c r="N35" i="3"/>
  <c r="M33" i="5"/>
  <c r="O107" i="33"/>
  <c r="O153" i="2"/>
  <c r="K4" i="30"/>
  <c r="N163" i="29"/>
  <c r="L173" i="26"/>
  <c r="M67" i="19"/>
  <c r="O145" i="3"/>
  <c r="M56" i="18"/>
  <c r="K35" i="22"/>
  <c r="N101" i="9"/>
  <c r="M81" i="3"/>
  <c r="L106" i="16"/>
  <c r="K8" i="31"/>
  <c r="M37" i="29"/>
  <c r="L181" i="32"/>
  <c r="M111" i="12"/>
  <c r="M155" i="10"/>
  <c r="N142" i="30"/>
  <c r="M114" i="1"/>
  <c r="L72" i="4"/>
  <c r="N161" i="31"/>
  <c r="O100" i="5"/>
  <c r="L79" i="6"/>
  <c r="O98" i="24"/>
  <c r="M166" i="15"/>
  <c r="N23" i="5"/>
  <c r="L71" i="30"/>
  <c r="M92" i="23"/>
  <c r="N71" i="11"/>
  <c r="K23" i="10"/>
  <c r="O134"/>
  <c r="M42" i="29"/>
  <c r="N163" i="23"/>
  <c r="M5" i="15"/>
  <c r="O52" i="22"/>
  <c r="O61" i="32"/>
  <c r="L86" i="5"/>
  <c r="N180" i="17"/>
  <c r="L183"/>
  <c r="M160" i="33"/>
  <c r="K178" i="1"/>
  <c r="K71" i="22"/>
  <c r="N88" i="28"/>
  <c r="O92" i="16"/>
  <c r="K34" i="31"/>
  <c r="O5"/>
  <c r="L69" i="12"/>
  <c r="L18" i="24"/>
  <c r="O141" i="9"/>
  <c r="O140" i="27"/>
  <c r="N160" i="18"/>
  <c r="M92" i="9"/>
  <c r="K142"/>
  <c r="O169" i="27"/>
  <c r="K132" i="2"/>
  <c r="M68" i="28"/>
  <c r="M45" i="16"/>
  <c r="L33" i="3"/>
  <c r="N44" i="32"/>
  <c r="L56" i="17"/>
  <c r="L157" i="32"/>
  <c r="L169" i="20"/>
  <c r="O152" i="16"/>
  <c r="L85" i="24"/>
  <c r="L128" i="31"/>
  <c r="O109" i="3"/>
  <c r="N16" i="10"/>
  <c r="N135" i="16"/>
  <c r="K130" i="32"/>
  <c r="L171" i="25"/>
  <c r="O151" i="31"/>
  <c r="L112" i="20"/>
  <c r="M123" i="1"/>
  <c r="N148" i="4"/>
  <c r="M42" i="15"/>
  <c r="M152" i="21"/>
  <c r="O69" i="25"/>
  <c r="N142" i="11"/>
  <c r="M36" i="3"/>
  <c r="K149" i="10"/>
  <c r="O87" i="27"/>
  <c r="O79" i="1"/>
  <c r="K162" i="19"/>
  <c r="N78" i="4"/>
  <c r="O114" i="19"/>
  <c r="K16" i="32"/>
  <c r="N153" i="29"/>
  <c r="O174" i="2"/>
  <c r="L172" i="6"/>
  <c r="O87" i="5"/>
  <c r="K44" i="3"/>
  <c r="K112" i="5"/>
  <c r="N31" i="23"/>
  <c r="O10" i="11"/>
  <c r="L118" i="31"/>
  <c r="M33" i="27"/>
  <c r="L78" i="2"/>
  <c r="N45" i="3"/>
  <c r="O130" i="6"/>
  <c r="K178" i="9"/>
  <c r="N80" i="15"/>
  <c r="M49" i="30"/>
  <c r="M110" i="10"/>
  <c r="N143" i="12"/>
  <c r="K94" i="18"/>
  <c r="K93" i="28"/>
  <c r="M155" i="24"/>
  <c r="K174" i="1"/>
  <c r="K101" i="30"/>
  <c r="M42" i="17"/>
  <c r="N23" i="23"/>
  <c r="O136" i="6"/>
  <c r="L142" i="30"/>
  <c r="N123" i="3"/>
  <c r="O134" i="31"/>
  <c r="N123" i="28"/>
  <c r="K44" i="1"/>
  <c r="N84" i="26"/>
  <c r="O166" i="22"/>
  <c r="K85" i="6"/>
  <c r="L161"/>
  <c r="N161" i="1"/>
  <c r="M6" i="6"/>
  <c r="L129" i="20"/>
  <c r="N53" i="17"/>
  <c r="L58" i="3"/>
  <c r="L26" i="10"/>
  <c r="L98" i="33"/>
  <c r="O30" i="20"/>
  <c r="L49" i="30"/>
  <c r="N59" i="31"/>
  <c r="N80" i="5"/>
  <c r="N136" i="20"/>
  <c r="M43" i="19"/>
  <c r="N79" i="18"/>
  <c r="K30" i="27"/>
  <c r="N142" i="3"/>
  <c r="N99" i="12"/>
  <c r="N126" i="16"/>
  <c r="M52" i="30"/>
  <c r="N106" i="3"/>
  <c r="N33" i="32"/>
  <c r="M131" i="30"/>
  <c r="N19"/>
  <c r="N9" i="19"/>
  <c r="L182" i="1"/>
  <c r="L182" i="24"/>
  <c r="N149" i="19"/>
  <c r="L185" i="6"/>
  <c r="M183" i="23"/>
  <c r="M120" i="27"/>
  <c r="N24" i="33"/>
  <c r="K68" i="3"/>
  <c r="K8" i="26"/>
  <c r="L141" i="33"/>
  <c r="N109" i="25"/>
  <c r="N68" i="11"/>
  <c r="O145" i="2"/>
  <c r="N140" i="31"/>
  <c r="O140" i="28"/>
  <c r="M169" i="31"/>
  <c r="N180" i="22"/>
  <c r="L165" i="4"/>
  <c r="N163" i="32"/>
  <c r="L152" i="28"/>
  <c r="L150" i="23"/>
  <c r="K91" i="16"/>
  <c r="N16"/>
  <c r="O30" i="23"/>
  <c r="O143" i="17"/>
  <c r="K47" i="29"/>
  <c r="M130" i="22"/>
  <c r="N118" i="23"/>
  <c r="M113" i="27"/>
  <c r="K33" i="33"/>
  <c r="N162" i="12"/>
  <c r="L131" i="21"/>
  <c r="K24" i="20"/>
  <c r="K158" i="19"/>
  <c r="O51"/>
  <c r="L96" i="31"/>
  <c r="O51" i="3"/>
  <c r="O52" i="9"/>
  <c r="M60" i="20"/>
  <c r="O29" i="1"/>
  <c r="K160" i="28"/>
  <c r="K43" i="11"/>
  <c r="L162" i="25"/>
  <c r="O94" i="5"/>
  <c r="O21" i="31"/>
  <c r="M157" i="22"/>
  <c r="M95" i="10"/>
  <c r="O123" i="23"/>
  <c r="K181" i="4"/>
  <c r="O56" i="1"/>
  <c r="L6"/>
  <c r="M157" i="20"/>
  <c r="O136" i="31"/>
  <c r="L153" i="4"/>
  <c r="L4" i="3"/>
  <c r="N10" i="30"/>
  <c r="O88" i="23"/>
  <c r="O167" i="28"/>
  <c r="K116" i="32"/>
  <c r="L116" i="15"/>
  <c r="O59" i="10"/>
  <c r="O98" i="3"/>
  <c r="M150" i="24"/>
  <c r="K87" i="30"/>
  <c r="M75" i="28"/>
  <c r="O18" i="3"/>
  <c r="K67" i="18"/>
  <c r="L75" i="19"/>
  <c r="O35" i="10"/>
  <c r="N51" i="20"/>
  <c r="L142" i="22"/>
  <c r="O10" i="15"/>
  <c r="M163" i="3"/>
  <c r="O161" i="33"/>
  <c r="K173"/>
  <c r="M122" i="23"/>
  <c r="K65" i="5"/>
  <c r="O73" i="23"/>
  <c r="M93" i="20"/>
  <c r="O126" i="19"/>
  <c r="M115" i="24"/>
  <c r="L102" i="4"/>
  <c r="N24" i="15"/>
  <c r="K180" i="3"/>
  <c r="L157"/>
  <c r="M13" i="32"/>
  <c r="M182" i="6"/>
  <c r="O117" i="23"/>
  <c r="N154" i="22"/>
  <c r="M47" i="11"/>
  <c r="K113" i="30"/>
  <c r="O181" i="26"/>
  <c r="L71" i="15"/>
  <c r="O185" i="31"/>
  <c r="M26" i="6"/>
  <c r="N57"/>
  <c r="M43" i="32"/>
  <c r="M135" i="15"/>
  <c r="O137" i="6"/>
  <c r="N102" i="10"/>
  <c r="M87" i="28"/>
  <c r="N20" i="33"/>
  <c r="O33" i="2"/>
  <c r="M154" i="26"/>
  <c r="O111" i="29"/>
  <c r="N177" i="32"/>
  <c r="M47" i="1"/>
  <c r="N185" i="30"/>
  <c r="O107"/>
  <c r="L30" i="3"/>
  <c r="L152" i="9"/>
  <c r="K54" i="21"/>
  <c r="O163" i="30"/>
  <c r="M15" i="6"/>
  <c r="N40" i="5"/>
  <c r="N119" i="24"/>
  <c r="O120" i="31"/>
  <c r="M30" i="11"/>
  <c r="N162" i="32"/>
  <c r="O34" i="30"/>
  <c r="M59" i="22"/>
  <c r="L15" i="15"/>
  <c r="L173" i="10"/>
  <c r="K116" i="30"/>
  <c r="L16" i="15"/>
  <c r="M44" i="24"/>
  <c r="K126" i="27"/>
  <c r="K165" i="29"/>
  <c r="L146" i="24"/>
  <c r="N143" i="28"/>
  <c r="O77" i="23"/>
  <c r="K91" i="19"/>
  <c r="N152" i="11"/>
  <c r="M42" i="30"/>
  <c r="O121" i="33"/>
  <c r="L29" i="32"/>
  <c r="L113" i="17"/>
  <c r="L168" i="26"/>
  <c r="O61" i="11"/>
  <c r="O102" i="18"/>
  <c r="L56" i="15"/>
  <c r="K158" i="26"/>
  <c r="N106" i="12"/>
  <c r="K75" i="32"/>
  <c r="N115" i="33"/>
  <c r="M132" i="19"/>
  <c r="L128" i="23"/>
  <c r="K179" i="10"/>
  <c r="K82" i="17"/>
  <c r="N80" i="22"/>
  <c r="K142" i="19"/>
  <c r="K31" i="12"/>
  <c r="N180" i="10"/>
  <c r="K122" i="12"/>
  <c r="O120" i="5"/>
  <c r="M106"/>
  <c r="N13" i="23"/>
  <c r="O80" i="11"/>
  <c r="O96" i="5"/>
  <c r="L19"/>
  <c r="N151" i="19"/>
  <c r="N24" i="9"/>
  <c r="N135" i="17"/>
  <c r="O71" i="27"/>
  <c r="O68" i="22"/>
  <c r="K155" i="17"/>
  <c r="N13" i="22"/>
  <c r="N165"/>
  <c r="K139" i="30"/>
  <c r="K106" i="5"/>
  <c r="M132" i="3"/>
  <c r="L173"/>
  <c r="N127" i="1"/>
  <c r="K79" i="28"/>
  <c r="M31" i="6"/>
  <c r="M184" i="30"/>
  <c r="K63" i="32"/>
  <c r="K39" i="27"/>
  <c r="K179" i="29"/>
  <c r="O50" i="11"/>
  <c r="O20" i="17"/>
  <c r="O96" i="23"/>
  <c r="K170" i="18"/>
  <c r="K148" i="5"/>
  <c r="N180" i="30"/>
  <c r="O47" i="3"/>
  <c r="L51" i="31"/>
  <c r="N148"/>
  <c r="O181" i="15"/>
  <c r="K69" i="28"/>
  <c r="L102" i="30"/>
  <c r="N135" i="33"/>
  <c r="L167" i="19"/>
  <c r="K151" i="22"/>
  <c r="K30" i="1"/>
  <c r="N65" i="22"/>
  <c r="K169" i="5"/>
  <c r="M75" i="22"/>
  <c r="N113" i="26"/>
  <c r="K182" i="25"/>
  <c r="M106" i="3"/>
  <c r="O162" i="29"/>
  <c r="N20" i="15"/>
  <c r="L4" i="22"/>
  <c r="O130" i="5"/>
  <c r="L162" i="15"/>
  <c r="L75" i="32"/>
  <c r="O163" i="29"/>
  <c r="N134" i="19"/>
  <c r="O107" i="1"/>
  <c r="L185" i="31"/>
  <c r="M74" i="11"/>
  <c r="O166" i="24"/>
  <c r="K182" i="22"/>
  <c r="L72" i="32"/>
  <c r="N115" i="26"/>
  <c r="K79" i="24"/>
  <c r="O108" i="27"/>
  <c r="N179" i="2"/>
  <c r="M25" i="21"/>
  <c r="K88" i="23"/>
  <c r="N155" i="26"/>
  <c r="M58" i="19"/>
  <c r="M132" i="9"/>
  <c r="O184" i="5"/>
  <c r="N168" i="10"/>
  <c r="O59" i="17"/>
  <c r="K82" i="30"/>
  <c r="O128" i="16"/>
  <c r="N162" i="19"/>
  <c r="L66" i="6"/>
  <c r="O144" i="31"/>
  <c r="N29" i="20"/>
  <c r="O112" i="11"/>
  <c r="K125" i="15"/>
  <c r="K28" i="31"/>
  <c r="N31" i="24"/>
  <c r="K127" i="32"/>
  <c r="O127" i="9"/>
  <c r="L144" i="28"/>
  <c r="L166" i="22"/>
  <c r="O79" i="17"/>
  <c r="L149" i="28"/>
  <c r="N136" i="25"/>
  <c r="M133" i="21"/>
  <c r="O71" i="18"/>
  <c r="M107" i="21"/>
  <c r="L28" i="24"/>
  <c r="K14" i="27"/>
  <c r="O37" i="24"/>
  <c r="O95" i="2"/>
  <c r="M109" i="26"/>
  <c r="O100" i="12"/>
  <c r="O78" i="25"/>
  <c r="N65" i="2"/>
  <c r="L29" i="31"/>
  <c r="K185" i="33"/>
  <c r="O111" i="28"/>
  <c r="M180" i="18"/>
  <c r="O18" i="4"/>
  <c r="K113" i="15"/>
  <c r="M110" i="11"/>
  <c r="N178" i="2"/>
  <c r="M123" i="22"/>
  <c r="O53" i="30"/>
  <c r="K135" i="20"/>
  <c r="M51" i="17"/>
  <c r="K61" i="16"/>
  <c r="M3" i="5"/>
  <c r="N122" i="22"/>
  <c r="K86" i="9"/>
  <c r="M126" i="10"/>
  <c r="O109" i="30"/>
  <c r="O145" i="15"/>
  <c r="N134" i="17"/>
  <c r="M143" i="11"/>
  <c r="O174" i="29"/>
  <c r="K182" i="24"/>
  <c r="M81" i="2"/>
  <c r="L130"/>
  <c r="N180" i="27"/>
  <c r="K66" i="29"/>
  <c r="N131" i="18"/>
  <c r="O183" i="22"/>
  <c r="O66" i="23"/>
  <c r="N162" i="6"/>
  <c r="L127" i="18"/>
  <c r="L111" i="24"/>
  <c r="N3" i="18"/>
  <c r="L159" i="16"/>
  <c r="O4" i="30"/>
  <c r="K176" i="1"/>
  <c r="M59" i="11"/>
  <c r="O177" i="29"/>
  <c r="L43" i="11"/>
  <c r="L128" i="16"/>
  <c r="M69" i="31"/>
  <c r="M19" i="16"/>
  <c r="O86" i="26"/>
  <c r="M36" i="30"/>
  <c r="M121" i="2"/>
  <c r="O144" i="18"/>
  <c r="N147"/>
  <c r="O40" i="10"/>
  <c r="L46" i="30"/>
  <c r="M57" i="33"/>
  <c r="L102" i="16"/>
  <c r="K161" i="22"/>
  <c r="N74" i="11"/>
  <c r="L158" i="2"/>
  <c r="M148" i="23"/>
  <c r="K140" i="2"/>
  <c r="N64" i="24"/>
  <c r="M37" i="16"/>
  <c r="L59"/>
  <c r="K68" i="12"/>
  <c r="O162" i="18"/>
  <c r="M111" i="17"/>
  <c r="M29" i="4"/>
  <c r="L93" i="18"/>
  <c r="L150" i="4"/>
  <c r="K114" i="25"/>
  <c r="N117" i="15"/>
  <c r="K180" i="28"/>
  <c r="N16" i="2"/>
  <c r="L126" i="29"/>
  <c r="N72" i="23"/>
  <c r="O116" i="29"/>
  <c r="L133" i="12"/>
  <c r="N181" i="33"/>
  <c r="K119" i="11"/>
  <c r="L86" i="6"/>
  <c r="N173" i="10"/>
  <c r="O165" i="15"/>
  <c r="O127" i="23"/>
  <c r="N9" i="4"/>
  <c r="M38" i="15"/>
  <c r="O28" i="12"/>
  <c r="L174" i="2"/>
  <c r="L78" i="15"/>
  <c r="K79" i="31"/>
  <c r="M15" i="27"/>
  <c r="N89" i="32"/>
  <c r="O65" i="11"/>
  <c r="K154" i="10"/>
  <c r="M71" i="21"/>
  <c r="O71" i="22"/>
  <c r="M137" i="5"/>
  <c r="N68" i="16"/>
  <c r="N182" i="22"/>
  <c r="O63" i="18"/>
  <c r="K130" i="4"/>
  <c r="M180" i="21"/>
  <c r="N114" i="28"/>
  <c r="L21" i="20"/>
  <c r="N119"/>
  <c r="N143" i="33"/>
  <c r="M28" i="21"/>
  <c r="L72" i="25"/>
  <c r="N113" i="24"/>
  <c r="K110" i="19"/>
  <c r="M174" i="15"/>
  <c r="O39" i="2"/>
  <c r="M89" i="18"/>
  <c r="K118" i="24"/>
  <c r="N50" i="21"/>
  <c r="L125" i="29"/>
  <c r="M174" i="24"/>
  <c r="N125" i="4"/>
  <c r="M95" i="12"/>
  <c r="M181" i="28"/>
  <c r="N80" i="6"/>
  <c r="N112" i="29"/>
  <c r="K85" i="18"/>
  <c r="O53" i="12"/>
  <c r="L142" i="32"/>
  <c r="K61" i="19"/>
  <c r="N127" i="28"/>
  <c r="M40" i="4"/>
  <c r="K37" i="24"/>
  <c r="L142" i="15"/>
  <c r="N4" i="26"/>
  <c r="M119" i="28"/>
  <c r="L181" i="27"/>
  <c r="K36" i="23"/>
  <c r="O110" i="17"/>
  <c r="M118" i="20"/>
  <c r="M15" i="16"/>
  <c r="K115" i="3"/>
  <c r="L102" i="24"/>
  <c r="N114" i="2"/>
  <c r="N45" i="25"/>
  <c r="O107" i="24"/>
  <c r="N19" i="16"/>
  <c r="M73" i="26"/>
  <c r="K123" i="21"/>
  <c r="M119" i="16"/>
  <c r="O98" i="21"/>
  <c r="N183" i="27"/>
  <c r="M178" i="23"/>
  <c r="M131" i="32"/>
  <c r="L63" i="31"/>
  <c r="K161" i="33"/>
  <c r="K84" i="22"/>
  <c r="N159" i="4"/>
  <c r="O10" i="32"/>
  <c r="N93" i="17"/>
  <c r="N43" i="20"/>
  <c r="M96" i="11"/>
  <c r="L52" i="29"/>
  <c r="O114" i="33"/>
  <c r="M98" i="24"/>
  <c r="K141" i="18"/>
  <c r="K87" i="27"/>
  <c r="M144" i="9"/>
  <c r="O51" i="23"/>
  <c r="K125" i="6"/>
  <c r="N85" i="24"/>
  <c r="M127" i="21"/>
  <c r="M142" i="5"/>
  <c r="N110" i="24"/>
  <c r="N166" i="6"/>
  <c r="O126" i="1"/>
  <c r="N86" i="19"/>
  <c r="O39" i="23"/>
  <c r="L25" i="28"/>
  <c r="K153" i="29"/>
  <c r="N128" i="5"/>
  <c r="L5" i="28"/>
  <c r="M136" i="4"/>
  <c r="N127" i="29"/>
  <c r="L145" i="4"/>
  <c r="N149" i="17"/>
  <c r="N37" i="21"/>
  <c r="O118" i="28"/>
  <c r="M23" i="15"/>
  <c r="N31" i="5"/>
  <c r="K133" i="11"/>
  <c r="L123" i="1"/>
  <c r="L176" i="15"/>
  <c r="L184" i="29"/>
  <c r="K50" i="12"/>
  <c r="M122" i="30"/>
  <c r="N142" i="20"/>
  <c r="K106" i="28"/>
  <c r="O152"/>
  <c r="L65"/>
  <c r="M44" i="15"/>
  <c r="N20" i="2"/>
  <c r="K76" i="15"/>
  <c r="O155" i="23"/>
  <c r="K26" i="1"/>
  <c r="K115" i="11"/>
  <c r="K61" i="21"/>
  <c r="K38" i="26"/>
  <c r="L114" i="5"/>
  <c r="K13" i="12"/>
  <c r="N6" i="24"/>
  <c r="M151" i="30"/>
  <c r="O160" i="10"/>
  <c r="L144" i="33"/>
  <c r="L95" i="11"/>
  <c r="N76" i="21"/>
  <c r="O81" i="25"/>
  <c r="M181" i="9"/>
  <c r="L102" i="11"/>
  <c r="L26" i="24"/>
  <c r="L44" i="27"/>
  <c r="N135" i="6"/>
  <c r="N126" i="30"/>
  <c r="N6" i="27"/>
  <c r="O39" i="10"/>
  <c r="L42" i="9"/>
  <c r="M111" i="30"/>
  <c r="O15" i="15"/>
  <c r="O31" i="24"/>
  <c r="M54" i="11"/>
  <c r="K56" i="25"/>
  <c r="M113" i="17"/>
  <c r="N94" i="10"/>
  <c r="K185" i="19"/>
  <c r="M82" i="17"/>
  <c r="N183" i="15"/>
  <c r="O8" i="29"/>
  <c r="M140"/>
  <c r="M108" i="9"/>
  <c r="O19" i="6"/>
  <c r="O95" i="5"/>
  <c r="L141" i="9"/>
  <c r="N77" i="29"/>
  <c r="L165" i="24"/>
  <c r="L93" i="23"/>
  <c r="K15" i="10"/>
  <c r="O162" i="22"/>
  <c r="K185" i="29"/>
  <c r="M80" i="16"/>
  <c r="O150" i="5"/>
  <c r="N107" i="32"/>
  <c r="O169" i="23"/>
  <c r="K145" i="31"/>
  <c r="K153" i="3"/>
  <c r="L91" i="20"/>
  <c r="M163" i="24"/>
  <c r="N57" i="28"/>
  <c r="N44" i="22"/>
  <c r="O171" i="10"/>
  <c r="M94" i="11"/>
  <c r="M72" i="24"/>
  <c r="K78" i="3"/>
  <c r="M6" i="19"/>
  <c r="K6" i="32"/>
  <c r="L49" i="18"/>
  <c r="K44" i="15"/>
  <c r="N182" i="24"/>
  <c r="K109" i="27"/>
  <c r="N15" i="2"/>
  <c r="O182" i="18"/>
  <c r="O121" i="12"/>
  <c r="M108" i="23"/>
  <c r="O142" i="4"/>
  <c r="O157" i="29"/>
  <c r="M76"/>
  <c r="N171" i="9"/>
  <c r="K162" i="5"/>
  <c r="L88" i="23"/>
  <c r="K114" i="12"/>
  <c r="M118" i="15"/>
  <c r="O79" i="29"/>
  <c r="O43" i="23"/>
  <c r="L106" i="5"/>
  <c r="O10" i="16"/>
  <c r="L10" i="15"/>
  <c r="L159" i="6"/>
  <c r="K148" i="33"/>
  <c r="O149" i="6"/>
  <c r="L36" i="15"/>
  <c r="O161" i="5"/>
  <c r="N10" i="29"/>
  <c r="M150" i="15"/>
  <c r="M169"/>
  <c r="N144" i="9"/>
  <c r="O40" i="28"/>
  <c r="M157" i="4"/>
  <c r="M144" i="33"/>
  <c r="N126" i="11"/>
  <c r="N28" i="27"/>
  <c r="O117" i="6"/>
  <c r="K88" i="17"/>
  <c r="N8" i="1"/>
  <c r="K182" i="32"/>
  <c r="M60" i="12"/>
  <c r="K35" i="31"/>
  <c r="L61" i="12"/>
  <c r="O68" i="30"/>
  <c r="O184" i="17"/>
  <c r="L39" i="23"/>
  <c r="N112" i="18"/>
  <c r="N35" i="23"/>
  <c r="K146" i="3"/>
  <c r="N29" i="31"/>
  <c r="K73" i="15"/>
  <c r="L110" i="25"/>
  <c r="K46" i="17"/>
  <c r="O174" i="19"/>
  <c r="L11" i="17"/>
  <c r="N39" i="15"/>
  <c r="L107" i="30"/>
  <c r="L58" i="24"/>
  <c r="K57" i="11"/>
  <c r="O34" i="9"/>
  <c r="L29" i="16"/>
  <c r="K129" i="32"/>
  <c r="N47" i="12"/>
  <c r="N161" i="15"/>
  <c r="O39" i="1"/>
  <c r="L18" i="30"/>
  <c r="M132" i="29"/>
  <c r="K25" i="9"/>
  <c r="K20" i="16"/>
  <c r="M29" i="10"/>
  <c r="O43" i="15"/>
  <c r="N174" i="5"/>
  <c r="K20" i="20"/>
  <c r="N119" i="6"/>
  <c r="K50" i="5"/>
  <c r="O162" i="11"/>
  <c r="L44" i="31"/>
  <c r="N30" i="19"/>
  <c r="N121" i="10"/>
  <c r="N9" i="25"/>
  <c r="O85" i="12"/>
  <c r="K178" i="20"/>
  <c r="M39" i="33"/>
  <c r="L40" i="11"/>
  <c r="K130" i="21"/>
  <c r="O54" i="17"/>
  <c r="K166" i="9"/>
  <c r="M63" i="17"/>
  <c r="N113" i="6"/>
  <c r="O93" i="11"/>
  <c r="L131" i="26"/>
  <c r="K82" i="10"/>
  <c r="L182"/>
  <c r="K61" i="22"/>
  <c r="K79" i="19"/>
  <c r="N184" i="20"/>
  <c r="M127" i="33"/>
  <c r="O161" i="27"/>
  <c r="K144" i="20"/>
  <c r="M69" i="12"/>
  <c r="L24" i="21"/>
  <c r="M42" i="5"/>
  <c r="M112" i="17"/>
  <c r="O60" i="28"/>
  <c r="L150" i="20"/>
  <c r="K31" i="1"/>
  <c r="L8" i="17"/>
  <c r="N51" i="26"/>
  <c r="N133" i="19"/>
  <c r="O100" i="27"/>
  <c r="N34" i="12"/>
  <c r="O54" i="1"/>
  <c r="K72" i="20"/>
  <c r="O73" i="29"/>
  <c r="N144" i="19"/>
  <c r="O141" i="17"/>
  <c r="O74" i="2"/>
  <c r="O92" i="23"/>
  <c r="K172" i="1"/>
  <c r="M67" i="11"/>
  <c r="O102" i="28"/>
  <c r="L91" i="1"/>
  <c r="K56" i="9"/>
  <c r="N86" i="29"/>
  <c r="O172" i="17"/>
  <c r="M96" i="25"/>
  <c r="L16" i="10"/>
  <c r="M25" i="16"/>
  <c r="N108" i="11"/>
  <c r="L23" i="3"/>
  <c r="M72" i="32"/>
  <c r="L68" i="22"/>
  <c r="L123" i="31"/>
  <c r="M129" i="17"/>
  <c r="M52" i="22"/>
  <c r="L116" i="12"/>
  <c r="M151" i="11"/>
  <c r="L177" i="6"/>
  <c r="M157" i="9"/>
  <c r="N88" i="32"/>
  <c r="N117" i="23"/>
  <c r="K119" i="27"/>
  <c r="K178"/>
  <c r="M159" i="12"/>
  <c r="L51" i="4"/>
  <c r="M101" i="32"/>
  <c r="M114" i="23"/>
  <c r="M39" i="22"/>
  <c r="K94" i="10"/>
  <c r="N86" i="32"/>
  <c r="O150" i="21"/>
  <c r="K29" i="11"/>
  <c r="N20" i="6"/>
  <c r="M21" i="3"/>
  <c r="L47" i="33"/>
  <c r="M137" i="32"/>
  <c r="N96" i="31"/>
  <c r="K167" i="32"/>
  <c r="K89" i="17"/>
  <c r="L154" i="10"/>
  <c r="M80"/>
  <c r="O113" i="32"/>
  <c r="N93" i="22"/>
  <c r="N184" i="15"/>
  <c r="K56" i="16"/>
  <c r="L13" i="26"/>
  <c r="M185" i="17"/>
  <c r="K144" i="23"/>
  <c r="O49" i="3"/>
  <c r="N181" i="6"/>
  <c r="M153" i="23"/>
  <c r="N172" i="28"/>
  <c r="L13" i="31"/>
  <c r="N160" i="17"/>
  <c r="L76" i="16"/>
  <c r="L173" i="22"/>
  <c r="N36" i="19"/>
  <c r="K148" i="22"/>
  <c r="K151" i="26"/>
  <c r="N52" i="32"/>
  <c r="N71" i="17"/>
  <c r="K131" i="25"/>
  <c r="M182" i="18"/>
  <c r="K85" i="16"/>
  <c r="K139" i="11"/>
  <c r="K91" i="22"/>
  <c r="L63" i="3"/>
  <c r="O75" i="6"/>
  <c r="L144" i="31"/>
  <c r="M107" i="3"/>
  <c r="N23" i="10"/>
  <c r="N123" i="23"/>
  <c r="O147" i="27"/>
  <c r="L100" i="3"/>
  <c r="K100" i="21"/>
  <c r="K170" i="9"/>
  <c r="K78" i="20"/>
  <c r="O72" i="30"/>
  <c r="L82" i="29"/>
  <c r="O67" i="27"/>
  <c r="M122" i="11"/>
  <c r="K122" i="25"/>
  <c r="O43" i="17"/>
  <c r="O31" i="4"/>
  <c r="L106" i="9"/>
  <c r="N157" i="22"/>
  <c r="O8"/>
  <c r="K65" i="23"/>
  <c r="N110" i="22"/>
  <c r="O84" i="1"/>
  <c r="M15" i="30"/>
  <c r="K37" i="9"/>
  <c r="M158" i="16"/>
  <c r="O60" i="18"/>
  <c r="O71" i="30"/>
  <c r="O39" i="17"/>
  <c r="M106" i="19"/>
  <c r="M159" i="31"/>
  <c r="O25" i="10"/>
  <c r="O64" i="27"/>
  <c r="M50" i="10"/>
  <c r="K45" i="9"/>
  <c r="M88" i="10"/>
  <c r="K52" i="17"/>
  <c r="O35" i="1"/>
  <c r="M180" i="23"/>
  <c r="L45" i="17"/>
  <c r="O145" i="1"/>
  <c r="L111" i="28"/>
  <c r="K63" i="23"/>
  <c r="N49" i="29"/>
  <c r="K87" i="22"/>
  <c r="K58" i="10"/>
  <c r="K51" i="16"/>
  <c r="O61" i="30"/>
  <c r="L145" i="23"/>
  <c r="N169" i="2"/>
  <c r="K16" i="3"/>
  <c r="M18" i="17"/>
  <c r="M174" i="23"/>
  <c r="M96" i="15"/>
  <c r="K155" i="10"/>
  <c r="L59" i="1"/>
  <c r="O88" i="32"/>
  <c r="N109" i="33"/>
  <c r="M29" i="19"/>
  <c r="N52" i="29"/>
  <c r="M3" i="19"/>
  <c r="N166" i="15"/>
  <c r="K120" i="2"/>
  <c r="M183" i="1"/>
  <c r="L142" i="27"/>
  <c r="N129" i="2"/>
  <c r="M172" i="32"/>
  <c r="N16" i="24"/>
  <c r="O106" i="23"/>
  <c r="M42" i="27"/>
  <c r="M121" i="15"/>
  <c r="K49" i="4"/>
  <c r="K68" i="22"/>
  <c r="L153" i="24"/>
  <c r="N117" i="33"/>
  <c r="M26" i="31"/>
  <c r="N80" i="21"/>
  <c r="O64" i="11"/>
  <c r="K51" i="28"/>
  <c r="O127" i="11"/>
  <c r="O25" i="32"/>
  <c r="M97" i="19"/>
  <c r="M25" i="11"/>
  <c r="O110"/>
  <c r="N30"/>
  <c r="O57" i="19"/>
  <c r="K60" i="30"/>
  <c r="K126" i="31"/>
  <c r="K113" i="6"/>
  <c r="L95" i="24"/>
  <c r="N93" i="9"/>
  <c r="K84" i="10"/>
  <c r="L14" i="30"/>
  <c r="L160" i="6"/>
  <c r="M24" i="23"/>
  <c r="K65" i="28"/>
  <c r="M69" i="11"/>
  <c r="O106" i="28"/>
  <c r="N76" i="19"/>
  <c r="M84" i="25"/>
  <c r="N153" i="11"/>
  <c r="L59" i="18"/>
  <c r="K183" i="19"/>
  <c r="L75" i="20"/>
  <c r="N3"/>
  <c r="N53" i="31"/>
  <c r="N37" i="27"/>
  <c r="M40" i="23"/>
  <c r="O68" i="10"/>
  <c r="L15" i="25"/>
  <c r="L6" i="20"/>
  <c r="K161" i="31"/>
  <c r="L108"/>
  <c r="K151" i="33"/>
  <c r="K74" i="31"/>
  <c r="M126" i="18"/>
  <c r="O165" i="17"/>
  <c r="O28" i="26"/>
  <c r="L14" i="11"/>
  <c r="O153" i="19"/>
  <c r="M110" i="26"/>
  <c r="K118" i="28"/>
  <c r="O144" i="9"/>
  <c r="K184" i="22"/>
  <c r="L21" i="21"/>
  <c r="O133" i="30"/>
  <c r="O28" i="31"/>
  <c r="N120" i="17"/>
  <c r="K162" i="27"/>
  <c r="K80" i="31"/>
  <c r="M36" i="12"/>
  <c r="N155" i="29"/>
  <c r="O154" i="31"/>
  <c r="L135" i="17"/>
  <c r="N37" i="30"/>
  <c r="K127" i="3"/>
  <c r="M68" i="30"/>
  <c r="L4" i="6"/>
  <c r="L57" i="1"/>
  <c r="O42" i="25"/>
  <c r="O15" i="9"/>
  <c r="L53" i="23"/>
  <c r="N132" i="20"/>
  <c r="M15" i="33"/>
  <c r="O185" i="15"/>
  <c r="L46" i="11"/>
  <c r="M114" i="22"/>
  <c r="M113" i="26"/>
  <c r="O113" i="20"/>
  <c r="N91" i="6"/>
  <c r="L46" i="22"/>
  <c r="K79" i="27"/>
  <c r="K108" i="3"/>
  <c r="L72" i="1"/>
  <c r="O39" i="25"/>
  <c r="M94" i="23"/>
  <c r="O95" i="21"/>
  <c r="L86" i="31"/>
  <c r="O97" i="6"/>
  <c r="N51" i="19"/>
  <c r="L107" i="32"/>
  <c r="M142" i="23"/>
  <c r="N20" i="32"/>
  <c r="M92" i="17"/>
  <c r="O106" i="32"/>
  <c r="N148" i="6"/>
  <c r="N38" i="25"/>
  <c r="K5" i="9"/>
  <c r="O99" i="23"/>
  <c r="L6" i="31"/>
  <c r="O160" i="16"/>
  <c r="K112" i="28"/>
  <c r="M121" i="27"/>
  <c r="N160" i="9"/>
  <c r="L132" i="3"/>
  <c r="N167" i="30"/>
  <c r="M35" i="19"/>
  <c r="K130"/>
  <c r="O79" i="22"/>
  <c r="K86" i="31"/>
  <c r="M23" i="16"/>
  <c r="L147" i="11"/>
  <c r="N19" i="25"/>
  <c r="O18" i="22"/>
  <c r="M18" i="30"/>
  <c r="N150"/>
  <c r="M56" i="26"/>
  <c r="N3" i="21"/>
  <c r="M18" i="28"/>
  <c r="L80" i="21"/>
  <c r="N89" i="16"/>
  <c r="M24" i="5"/>
  <c r="N183" i="31"/>
  <c r="K77" i="24"/>
  <c r="M176" i="31"/>
  <c r="N74" i="29"/>
  <c r="N77" i="2"/>
  <c r="O84" i="26"/>
  <c r="O148" i="29"/>
  <c r="M133" i="11"/>
  <c r="O121" i="27"/>
  <c r="L61" i="28"/>
  <c r="O13" i="10"/>
  <c r="O44" i="16"/>
  <c r="M144" i="32"/>
  <c r="K4" i="1"/>
  <c r="O181" i="19"/>
  <c r="L40" i="10"/>
  <c r="M97" i="30"/>
  <c r="M14" i="31"/>
  <c r="N85" i="21"/>
  <c r="O144" i="23"/>
  <c r="L87" i="16"/>
  <c r="O42" i="15"/>
  <c r="M54" i="30"/>
  <c r="L141" i="17"/>
  <c r="L39" i="15"/>
  <c r="M161" i="17"/>
  <c r="N31" i="16"/>
  <c r="O177" i="17"/>
  <c r="N52" i="3"/>
  <c r="L179" i="22"/>
  <c r="L139" i="28"/>
  <c r="L56" i="27"/>
  <c r="M119" i="19"/>
  <c r="N57" i="5"/>
  <c r="N33" i="17"/>
  <c r="L176" i="29"/>
  <c r="M133" i="20"/>
  <c r="O107" i="31"/>
  <c r="K47" i="32"/>
  <c r="O25" i="23"/>
  <c r="K52" i="15"/>
  <c r="L85" i="11"/>
  <c r="L19" i="22"/>
  <c r="N113" i="5"/>
  <c r="M101" i="25"/>
  <c r="M21" i="11"/>
  <c r="L64" i="28"/>
  <c r="M92" i="1"/>
  <c r="O101" i="9"/>
  <c r="N117" i="20"/>
  <c r="L112" i="31"/>
  <c r="N88" i="22"/>
  <c r="O10" i="31"/>
  <c r="K133" i="28"/>
  <c r="L61" i="9"/>
  <c r="N122" i="28"/>
  <c r="O148" i="32"/>
  <c r="K63" i="27"/>
  <c r="K142" i="22"/>
  <c r="M77" i="17"/>
  <c r="O38" i="19"/>
  <c r="N183" i="10"/>
  <c r="K139" i="32"/>
  <c r="N109" i="31"/>
  <c r="O139" i="15"/>
  <c r="N108" i="1"/>
  <c r="K67" i="20"/>
  <c r="K91" i="10"/>
  <c r="M165" i="5"/>
  <c r="N92" i="12"/>
  <c r="K74" i="17"/>
  <c r="M177" i="1"/>
  <c r="L159" i="18"/>
  <c r="L25" i="19"/>
  <c r="K118" i="10"/>
  <c r="L16" i="5"/>
  <c r="O14" i="19"/>
  <c r="K66" i="31"/>
  <c r="O35" i="12"/>
  <c r="M51" i="6"/>
  <c r="N14" i="10"/>
  <c r="K177" i="2"/>
  <c r="K112" i="23"/>
  <c r="M165" i="17"/>
  <c r="N157" i="20"/>
  <c r="N91" i="17"/>
  <c r="N166" i="24"/>
  <c r="N143" i="3"/>
  <c r="N63" i="28"/>
  <c r="K161" i="5"/>
  <c r="N173" i="6"/>
  <c r="K13" i="20"/>
  <c r="O136" i="27"/>
  <c r="K101" i="3"/>
  <c r="L132" i="21"/>
  <c r="N78"/>
  <c r="N59" i="3"/>
  <c r="L139" i="26"/>
  <c r="L28" i="20"/>
  <c r="K66"/>
  <c r="O35" i="15"/>
  <c r="O31" i="27"/>
  <c r="O39" i="11"/>
  <c r="L34" i="22"/>
  <c r="K167" i="28"/>
  <c r="M172"/>
  <c r="M168" i="15"/>
  <c r="O127" i="30"/>
  <c r="O71" i="16"/>
  <c r="O63" i="19"/>
  <c r="N112" i="31"/>
  <c r="M116" i="18"/>
  <c r="L168" i="22"/>
  <c r="N81" i="11"/>
  <c r="M100" i="28"/>
  <c r="N46" i="25"/>
  <c r="M79" i="31"/>
  <c r="K144" i="18"/>
  <c r="O151" i="22"/>
  <c r="N128"/>
  <c r="O162" i="10"/>
  <c r="L107" i="5"/>
  <c r="O118" i="32"/>
  <c r="O29" i="6"/>
  <c r="N154" i="31"/>
  <c r="N31" i="32"/>
  <c r="L184" i="17"/>
  <c r="O181" i="30"/>
  <c r="O178" i="29"/>
  <c r="L168" i="28"/>
  <c r="K91" i="33"/>
  <c r="L80" i="31"/>
  <c r="K93" i="11"/>
  <c r="N86" i="16"/>
  <c r="N125" i="15"/>
  <c r="L155" i="33"/>
  <c r="K110" i="9"/>
  <c r="N121" i="22"/>
  <c r="K162" i="23"/>
  <c r="N39" i="1"/>
  <c r="K151" i="5"/>
  <c r="O21" i="2"/>
  <c r="O106" i="19"/>
  <c r="L73" i="6"/>
  <c r="M74" i="17"/>
  <c r="N120" i="21"/>
  <c r="M100" i="30"/>
  <c r="K76" i="19"/>
  <c r="N53" i="3"/>
  <c r="M144" i="22"/>
  <c r="N111" i="33"/>
  <c r="M9" i="6"/>
  <c r="O74" i="11"/>
  <c r="L37" i="33"/>
  <c r="N172" i="2"/>
  <c r="N141" i="30"/>
  <c r="L19" i="17"/>
  <c r="N23" i="30"/>
  <c r="K159" i="29"/>
  <c r="O172" i="12"/>
  <c r="L14" i="32"/>
  <c r="O160" i="24"/>
  <c r="O139" i="32"/>
  <c r="L120" i="22"/>
  <c r="L183" i="19"/>
  <c r="N69" i="17"/>
  <c r="M67" i="3"/>
  <c r="K82" i="23"/>
  <c r="M110" i="33"/>
  <c r="M120" i="15"/>
  <c r="N6" i="1"/>
  <c r="N153" i="18"/>
  <c r="N61" i="31"/>
  <c r="M68" i="18"/>
  <c r="O91" i="27"/>
  <c r="K9" i="17"/>
  <c r="M65" i="19"/>
  <c r="M127" i="3"/>
  <c r="M95" i="4"/>
  <c r="N16" i="23"/>
  <c r="N171" i="32"/>
  <c r="L8" i="1"/>
  <c r="L64" i="22"/>
  <c r="K110" i="1"/>
  <c r="N159" i="9"/>
  <c r="O140" i="10"/>
  <c r="M78" i="6"/>
  <c r="N118" i="16"/>
  <c r="O151" i="17"/>
  <c r="L176" i="24"/>
  <c r="K87" i="3"/>
  <c r="N24" i="23"/>
  <c r="L178" i="5"/>
  <c r="K120" i="29"/>
  <c r="L153" i="17"/>
  <c r="O179" i="31"/>
  <c r="M184" i="4"/>
  <c r="O180" i="3"/>
  <c r="O77" i="10"/>
  <c r="K111" i="9"/>
  <c r="N74" i="5"/>
  <c r="O144" i="32"/>
  <c r="K111" i="15"/>
  <c r="L169" i="21"/>
  <c r="L10" i="18"/>
  <c r="O84" i="31"/>
  <c r="K136" i="9"/>
  <c r="O78" i="16"/>
  <c r="M30" i="12"/>
  <c r="L152" i="3"/>
  <c r="O177" i="23"/>
  <c r="M14" i="29"/>
  <c r="N78" i="30"/>
  <c r="M5" i="25"/>
  <c r="O25" i="22"/>
  <c r="K139" i="15"/>
  <c r="O154"/>
  <c r="L59" i="22"/>
  <c r="O66"/>
  <c r="K60"/>
  <c r="K118" i="16"/>
  <c r="K42" i="24"/>
  <c r="N65" i="19"/>
  <c r="L154" i="22"/>
  <c r="N177" i="16"/>
  <c r="N60" i="9"/>
  <c r="M176" i="16"/>
  <c r="K145" i="11"/>
  <c r="L97" i="20"/>
  <c r="O47" i="27"/>
  <c r="L163" i="9"/>
  <c r="N77" i="19"/>
  <c r="K123" i="20"/>
  <c r="O183" i="29"/>
  <c r="O36" i="22"/>
  <c r="N26" i="33"/>
  <c r="M107"/>
  <c r="O75"/>
  <c r="L99" i="11"/>
  <c r="O120" i="6"/>
  <c r="N53" i="22"/>
  <c r="N78" i="25"/>
  <c r="L178" i="11"/>
  <c r="O158" i="29"/>
  <c r="K181" i="15"/>
  <c r="K112" i="3"/>
  <c r="M69" i="15"/>
  <c r="M76" i="24"/>
  <c r="L21" i="6"/>
  <c r="L134" i="1"/>
  <c r="L181" i="16"/>
  <c r="O25" i="15"/>
  <c r="N13" i="27"/>
  <c r="L89" i="5"/>
  <c r="K16" i="26"/>
  <c r="K154" i="17"/>
  <c r="N76" i="23"/>
  <c r="L73" i="17"/>
  <c r="N166" i="3"/>
  <c r="L130" i="19"/>
  <c r="K5" i="15"/>
  <c r="L125" i="1"/>
  <c r="M14" i="23"/>
  <c r="M77" i="5"/>
  <c r="K108" i="12"/>
  <c r="O112" i="5"/>
  <c r="N35" i="12"/>
  <c r="K39" i="2"/>
  <c r="L35" i="29"/>
  <c r="M174" i="6"/>
  <c r="O139" i="26"/>
  <c r="O140" i="33"/>
  <c r="L98" i="1"/>
  <c r="M54" i="19"/>
  <c r="O38" i="32"/>
  <c r="O19" i="23"/>
  <c r="N185" i="28"/>
  <c r="M157" i="15"/>
  <c r="N145" i="22"/>
  <c r="M107" i="6"/>
  <c r="L34" i="33"/>
  <c r="K91" i="1"/>
  <c r="L35" i="3"/>
  <c r="L178" i="15"/>
  <c r="O68" i="17"/>
  <c r="N71" i="16"/>
  <c r="K5" i="3"/>
  <c r="O171" i="33"/>
  <c r="O183" i="11"/>
  <c r="L60" i="2"/>
  <c r="N39" i="6"/>
  <c r="L79" i="1"/>
  <c r="N154" i="25"/>
  <c r="L145"/>
  <c r="M129" i="28"/>
  <c r="M101" i="31"/>
  <c r="L106" i="28"/>
  <c r="M107" i="17"/>
  <c r="K108" i="27"/>
  <c r="L107" i="25"/>
  <c r="O108" i="18"/>
  <c r="K25" i="16"/>
  <c r="M147" i="33"/>
  <c r="M13" i="29"/>
  <c r="O182" i="30"/>
  <c r="L118" i="33"/>
  <c r="M135" i="31"/>
  <c r="O77" i="6"/>
  <c r="M73"/>
  <c r="M143" i="1"/>
  <c r="O8" i="11"/>
  <c r="K82" i="31"/>
  <c r="N50" i="3"/>
  <c r="K73" i="29"/>
  <c r="O51" i="12"/>
  <c r="M161" i="21"/>
  <c r="K78" i="2"/>
  <c r="O95" i="32"/>
  <c r="L35" i="5"/>
  <c r="N142" i="19"/>
  <c r="K28" i="3"/>
  <c r="N177" i="30"/>
  <c r="O63" i="6"/>
  <c r="O98"/>
  <c r="N59" i="23"/>
  <c r="O139" i="19"/>
  <c r="K145" i="17"/>
  <c r="L170" i="15"/>
  <c r="L172" i="2"/>
  <c r="O147" i="25"/>
  <c r="N118"/>
  <c r="N18" i="22"/>
  <c r="O171" i="31"/>
  <c r="N132" i="2"/>
  <c r="N116" i="22"/>
  <c r="M165" i="31"/>
  <c r="N82" i="19"/>
  <c r="M74" i="32"/>
  <c r="N8" i="9"/>
  <c r="N114" i="30"/>
  <c r="K4" i="20"/>
  <c r="N109" i="6"/>
  <c r="N134" i="32"/>
  <c r="N45" i="23"/>
  <c r="O141" i="31"/>
  <c r="O72" i="10"/>
  <c r="K137" i="6"/>
  <c r="N165" i="2"/>
  <c r="M40" i="1"/>
  <c r="M112" i="30"/>
  <c r="O5" i="3"/>
  <c r="M143" i="10"/>
  <c r="M26" i="18"/>
  <c r="M67" i="16"/>
  <c r="O185"/>
  <c r="K89" i="27"/>
  <c r="M154" i="17"/>
  <c r="K74" i="19"/>
  <c r="L33" i="16"/>
  <c r="N40" i="32"/>
  <c r="M46" i="11"/>
  <c r="K92" i="10"/>
  <c r="K60" i="26"/>
  <c r="M155" i="22"/>
  <c r="N128" i="27"/>
  <c r="K71" i="23"/>
  <c r="O178" i="1"/>
  <c r="O39" i="31"/>
  <c r="K95" i="6"/>
  <c r="N11" i="11"/>
  <c r="L176" i="25"/>
  <c r="O79" i="27"/>
  <c r="O126" i="17"/>
  <c r="O63" i="32"/>
  <c r="L120" i="17"/>
  <c r="M20" i="32"/>
  <c r="O4" i="11"/>
  <c r="O53" i="4"/>
  <c r="N47" i="32"/>
  <c r="O145" i="28"/>
  <c r="N23" i="19"/>
  <c r="K110" i="25"/>
  <c r="O44" i="21"/>
  <c r="O160" i="30"/>
  <c r="O115" i="16"/>
  <c r="K130" i="25"/>
  <c r="N14" i="29"/>
  <c r="M161" i="12"/>
  <c r="O9" i="26"/>
  <c r="M113" i="4"/>
  <c r="K71" i="19"/>
  <c r="K172" i="28"/>
  <c r="N128" i="6"/>
  <c r="L58" i="19"/>
  <c r="N183" i="12"/>
  <c r="M16" i="24"/>
  <c r="N179" i="26"/>
  <c r="N116" i="28"/>
  <c r="N63" i="31"/>
  <c r="O119" i="30"/>
  <c r="N151" i="24"/>
  <c r="O111" i="3"/>
  <c r="O139" i="29"/>
  <c r="L132" i="23"/>
  <c r="M118" i="28"/>
  <c r="K72" i="33"/>
  <c r="M123" i="29"/>
  <c r="L178" i="23"/>
  <c r="M122" i="29"/>
  <c r="L109" i="33"/>
  <c r="O171" i="16"/>
  <c r="L184" i="15"/>
  <c r="L75" i="5"/>
  <c r="O73" i="16"/>
  <c r="M4" i="11"/>
  <c r="M182" i="15"/>
  <c r="O10" i="29"/>
  <c r="K119" i="21"/>
  <c r="L47" i="16"/>
  <c r="N140" i="12"/>
  <c r="N93" i="3"/>
  <c r="N78" i="2"/>
  <c r="O139" i="4"/>
  <c r="K152" i="12"/>
  <c r="N78" i="18"/>
  <c r="O50" i="31"/>
  <c r="K150" i="28"/>
  <c r="K61" i="5"/>
  <c r="K167" i="24"/>
  <c r="L39"/>
  <c r="M36" i="18"/>
  <c r="L178" i="33"/>
  <c r="M20" i="9"/>
  <c r="O59" i="1"/>
  <c r="M77" i="24"/>
  <c r="M35" i="4"/>
  <c r="O162" i="19"/>
  <c r="N36" i="10"/>
  <c r="L160" i="32"/>
  <c r="M142" i="24"/>
  <c r="O172" i="11"/>
  <c r="O37" i="28"/>
  <c r="N71" i="23"/>
  <c r="K127" i="10"/>
  <c r="L37" i="22"/>
  <c r="L64" i="32"/>
  <c r="K140" i="19"/>
  <c r="K167" i="4"/>
  <c r="O58" i="21"/>
  <c r="L149" i="32"/>
  <c r="M69" i="20"/>
  <c r="O29" i="24"/>
  <c r="N145" i="17"/>
  <c r="N142" i="21"/>
  <c r="K127" i="18"/>
  <c r="M117" i="12"/>
  <c r="N147" i="28"/>
  <c r="N144" i="25"/>
  <c r="K78" i="17"/>
  <c r="N86" i="6"/>
  <c r="O126" i="23"/>
  <c r="M140" i="2"/>
  <c r="O112" i="15"/>
  <c r="K152" i="20"/>
  <c r="L180" i="4"/>
  <c r="M117" i="29"/>
  <c r="M173" i="5"/>
  <c r="K46" i="6"/>
  <c r="M79" i="20"/>
  <c r="O91" i="15"/>
  <c r="K37" i="25"/>
  <c r="K19" i="21"/>
  <c r="O113" i="31"/>
  <c r="N72" i="20"/>
  <c r="L150" i="28"/>
  <c r="K121" i="25"/>
  <c r="M184" i="18"/>
  <c r="L69" i="29"/>
  <c r="L33" i="17"/>
  <c r="M35" i="1"/>
  <c r="K50" i="30"/>
  <c r="K112" i="9"/>
  <c r="L132"/>
  <c r="M23" i="27"/>
  <c r="N28" i="19"/>
  <c r="N122" i="2"/>
  <c r="N125" i="20"/>
  <c r="O171" i="21"/>
  <c r="K94" i="16"/>
  <c r="N176" i="17"/>
  <c r="N81" i="33"/>
  <c r="M64" i="4"/>
  <c r="L162" i="33"/>
  <c r="L139" i="23"/>
  <c r="K45" i="19"/>
  <c r="L106" i="1"/>
  <c r="K58" i="30"/>
  <c r="O20" i="5"/>
  <c r="O151" i="29"/>
  <c r="L64" i="5"/>
  <c r="L15" i="19"/>
  <c r="O108" i="23"/>
  <c r="M39"/>
  <c r="K58" i="21"/>
  <c r="K115" i="17"/>
  <c r="N43" i="15"/>
  <c r="M185" i="1"/>
  <c r="K162" i="21"/>
  <c r="L11" i="18"/>
  <c r="L170" i="17"/>
  <c r="K53" i="4"/>
  <c r="O37" i="19"/>
  <c r="M185"/>
  <c r="O18" i="30"/>
  <c r="M88"/>
  <c r="O135" i="12"/>
  <c r="K125" i="20"/>
  <c r="M177" i="16"/>
  <c r="M136" i="27"/>
  <c r="O53" i="16"/>
  <c r="O163" i="10"/>
  <c r="M71" i="26"/>
  <c r="K110" i="18"/>
  <c r="N129" i="19"/>
  <c r="O128" i="28"/>
  <c r="L150" i="25"/>
  <c r="M111" i="33"/>
  <c r="M108" i="10"/>
  <c r="N172" i="26"/>
  <c r="O121" i="25"/>
  <c r="M25" i="28"/>
  <c r="K144" i="33"/>
  <c r="K44" i="27"/>
  <c r="N134" i="20"/>
  <c r="M107" i="16"/>
  <c r="L183" i="20"/>
  <c r="K169" i="29"/>
  <c r="M169" i="10"/>
  <c r="K146" i="24"/>
  <c r="K74" i="32"/>
  <c r="M79" i="30"/>
  <c r="O185" i="10"/>
  <c r="L20" i="24"/>
  <c r="M140" i="20"/>
  <c r="M71" i="9"/>
  <c r="N111" i="26"/>
  <c r="K35" i="27"/>
  <c r="O29" i="3"/>
  <c r="M160" i="15"/>
  <c r="M167" i="29"/>
  <c r="L151" i="27"/>
  <c r="N135" i="4"/>
  <c r="M139" i="25"/>
  <c r="O149" i="32"/>
  <c r="M160" i="16"/>
  <c r="O28" i="15"/>
  <c r="K14" i="1"/>
  <c r="O72" i="32"/>
  <c r="M69" i="26"/>
  <c r="M18" i="1"/>
  <c r="O166" i="15"/>
  <c r="N166" i="2"/>
  <c r="O21" i="3"/>
  <c r="N56" i="31"/>
  <c r="O44" i="5"/>
  <c r="N45" i="12"/>
  <c r="L6" i="24"/>
  <c r="O127" i="3"/>
  <c r="L150" i="15"/>
  <c r="L61" i="26"/>
  <c r="N95" i="28"/>
  <c r="K123" i="16"/>
  <c r="N58" i="5"/>
  <c r="M133" i="12"/>
  <c r="M120" i="1"/>
  <c r="K96" i="29"/>
  <c r="K147" i="24"/>
  <c r="K31" i="9"/>
  <c r="M143" i="33"/>
  <c r="L116" i="21"/>
  <c r="M181" i="16"/>
  <c r="K84" i="32"/>
  <c r="K40"/>
  <c r="K130" i="30"/>
  <c r="L165" i="29"/>
  <c r="N67" i="1"/>
  <c r="O46" i="3"/>
  <c r="N102"/>
  <c r="K122" i="23"/>
  <c r="N178" i="28"/>
  <c r="O130" i="2"/>
  <c r="O184" i="26"/>
  <c r="M77" i="18"/>
  <c r="O159" i="21"/>
  <c r="M39" i="15"/>
  <c r="O79" i="2"/>
  <c r="O99" i="17"/>
  <c r="M114" i="16"/>
  <c r="L159" i="30"/>
  <c r="K15" i="25"/>
  <c r="K147" i="3"/>
  <c r="N36" i="11"/>
  <c r="L42" i="26"/>
  <c r="L141" i="27"/>
  <c r="L37" i="29"/>
  <c r="K176" i="30"/>
  <c r="N96" i="21"/>
  <c r="M36" i="33"/>
  <c r="O161" i="32"/>
  <c r="K155" i="27"/>
  <c r="N168" i="6"/>
  <c r="L33" i="2"/>
  <c r="O18" i="5"/>
  <c r="K89" i="18"/>
  <c r="K57" i="20"/>
  <c r="N184" i="26"/>
  <c r="L38" i="12"/>
  <c r="N155" i="22"/>
  <c r="O166" i="20"/>
  <c r="M16" i="16"/>
  <c r="M79" i="11"/>
  <c r="L24" i="29"/>
  <c r="L23" i="21"/>
  <c r="L144" i="11"/>
  <c r="K123" i="33"/>
  <c r="L93" i="5"/>
  <c r="O140" i="18"/>
  <c r="L15" i="6"/>
  <c r="O19" i="2"/>
  <c r="K58" i="6"/>
  <c r="K6" i="18"/>
  <c r="M170" i="31"/>
  <c r="M35" i="23"/>
  <c r="K45"/>
  <c r="L67" i="2"/>
  <c r="L63" i="15"/>
  <c r="M185" i="2"/>
  <c r="N18" i="15"/>
  <c r="N11" i="21"/>
  <c r="K116" i="11"/>
  <c r="M131" i="25"/>
  <c r="N151" i="5"/>
  <c r="K166" i="17"/>
  <c r="O183" i="10"/>
  <c r="K50" i="6"/>
  <c r="M50" i="5"/>
  <c r="K117" i="3"/>
  <c r="M14" i="15"/>
  <c r="O72" i="29"/>
  <c r="N161" i="28"/>
  <c r="L134" i="33"/>
  <c r="L114" i="9"/>
  <c r="M174" i="32"/>
  <c r="M93" i="16"/>
  <c r="K107" i="1"/>
  <c r="K119" i="3"/>
  <c r="N152" i="32"/>
  <c r="O66" i="3"/>
  <c r="N115" i="20"/>
  <c r="M54" i="16"/>
  <c r="K134" i="27"/>
  <c r="O159" i="32"/>
  <c r="N174" i="25"/>
  <c r="M16"/>
  <c r="L84" i="19"/>
  <c r="N159" i="15"/>
  <c r="M93" i="17"/>
  <c r="M84" i="31"/>
  <c r="M128" i="23"/>
  <c r="L119" i="1"/>
  <c r="N25" i="31"/>
  <c r="K35" i="32"/>
  <c r="L157" i="33"/>
  <c r="N4" i="22"/>
  <c r="M137"/>
  <c r="M34" i="23"/>
  <c r="K29" i="3"/>
  <c r="M46" i="28"/>
  <c r="L16" i="17"/>
  <c r="O45" i="19"/>
  <c r="L78" i="5"/>
  <c r="K132" i="32"/>
  <c r="O114" i="17"/>
  <c r="M118" i="12"/>
  <c r="K52" i="31"/>
  <c r="K75" i="17"/>
  <c r="M135" i="10"/>
  <c r="M43" i="5"/>
  <c r="N131" i="22"/>
  <c r="O106" i="27"/>
  <c r="L51" i="23"/>
  <c r="K132" i="17"/>
  <c r="L108" i="6"/>
  <c r="O81" i="12"/>
  <c r="N102" i="1"/>
  <c r="M171" i="22"/>
  <c r="L87"/>
  <c r="N118" i="32"/>
  <c r="L91" i="33"/>
  <c r="K109" i="25"/>
  <c r="K126" i="2"/>
  <c r="O100" i="18"/>
  <c r="M47" i="19"/>
  <c r="L100" i="5"/>
  <c r="L16" i="9"/>
  <c r="K117" i="32"/>
  <c r="K40" i="6"/>
  <c r="O120" i="4"/>
  <c r="L153" i="25"/>
  <c r="O120" i="29"/>
  <c r="M117" i="17"/>
  <c r="O78" i="5"/>
  <c r="N178" i="6"/>
  <c r="L158" i="1"/>
  <c r="N143" i="31"/>
  <c r="O6" i="33"/>
  <c r="L40" i="1"/>
  <c r="M179" i="32"/>
  <c r="O115"/>
  <c r="K167" i="17"/>
  <c r="K59" i="30"/>
  <c r="M87" i="3"/>
  <c r="M43" i="15"/>
  <c r="O50" i="5"/>
  <c r="O8" i="4"/>
  <c r="K146" i="18"/>
  <c r="N116" i="10"/>
  <c r="N147" i="29"/>
  <c r="N58" i="3"/>
  <c r="K50" i="2"/>
  <c r="K92" i="32"/>
  <c r="M184" i="22"/>
  <c r="K11" i="23"/>
  <c r="M3" i="24"/>
  <c r="N46" i="2"/>
  <c r="M28" i="16"/>
  <c r="L19" i="24"/>
  <c r="O110" i="12"/>
  <c r="M107" i="1"/>
  <c r="M59" i="33"/>
  <c r="K71" i="1"/>
  <c r="M126" i="33"/>
  <c r="L3" i="30"/>
  <c r="O113" i="24"/>
  <c r="N120" i="11"/>
  <c r="K162" i="16"/>
  <c r="K61" i="28"/>
  <c r="M140" i="21"/>
  <c r="O183" i="17"/>
  <c r="M125" i="30"/>
  <c r="O33" i="1"/>
  <c r="M79" i="6"/>
  <c r="N159" i="20"/>
  <c r="O131" i="22"/>
  <c r="M79" i="28"/>
  <c r="M146" i="31"/>
  <c r="L86" i="33"/>
  <c r="M131" i="20"/>
  <c r="M172" i="22"/>
  <c r="K127" i="12"/>
  <c r="L63" i="28"/>
  <c r="K148" i="23"/>
  <c r="L180" i="18"/>
  <c r="O66" i="15"/>
  <c r="L114" i="11"/>
  <c r="M11" i="33"/>
  <c r="K53" i="29"/>
  <c r="M97" i="31"/>
  <c r="O135" i="1"/>
  <c r="L60" i="30"/>
  <c r="L87" i="3"/>
  <c r="N170" i="9"/>
  <c r="M146" i="5"/>
  <c r="O135" i="11"/>
  <c r="N20" i="17"/>
  <c r="O100" i="4"/>
  <c r="L129" i="21"/>
  <c r="O8" i="28"/>
  <c r="N110" i="2"/>
  <c r="O155" i="24"/>
  <c r="N85" i="17"/>
  <c r="L126" i="15"/>
  <c r="M29" i="16"/>
  <c r="L64" i="21"/>
  <c r="O74" i="31"/>
  <c r="L19" i="16"/>
  <c r="M25" i="31"/>
  <c r="M97" i="28"/>
  <c r="K42" i="23"/>
  <c r="O169" i="29"/>
  <c r="K160" i="25"/>
  <c r="L125" i="32"/>
  <c r="K137" i="18"/>
  <c r="K26" i="11"/>
  <c r="N38" i="9"/>
  <c r="O30" i="11"/>
  <c r="O160" i="27"/>
  <c r="K87" i="25"/>
  <c r="K18" i="22"/>
  <c r="L49" i="21"/>
  <c r="K95" i="10"/>
  <c r="L9" i="19"/>
  <c r="N91" i="12"/>
  <c r="L131" i="25"/>
  <c r="K151" i="30"/>
  <c r="K14" i="22"/>
  <c r="M146" i="3"/>
  <c r="M77" i="15"/>
  <c r="L80" i="10"/>
  <c r="M11" i="3"/>
  <c r="M133" i="29"/>
  <c r="L13" i="4"/>
  <c r="M15" i="18"/>
  <c r="N33" i="16"/>
  <c r="K4" i="21"/>
  <c r="N3" i="3"/>
  <c r="N150" i="32"/>
  <c r="N87" i="29"/>
  <c r="K95" i="33"/>
  <c r="L144" i="3"/>
  <c r="M128" i="29"/>
  <c r="N181" i="27"/>
  <c r="M19" i="21"/>
  <c r="M129" i="30"/>
  <c r="K33" i="15"/>
  <c r="L50" i="29"/>
  <c r="O129" i="21"/>
  <c r="M61" i="31"/>
  <c r="K107" i="12"/>
  <c r="M119" i="33"/>
  <c r="L46" i="28"/>
  <c r="M172" i="19"/>
  <c r="O157"/>
  <c r="K155" i="23"/>
  <c r="K152" i="33"/>
  <c r="N56" i="25"/>
  <c r="N161"/>
  <c r="O20" i="15"/>
  <c r="N155" i="17"/>
  <c r="L170" i="32"/>
  <c r="M102" i="16"/>
  <c r="M77" i="23"/>
  <c r="M133" i="26"/>
  <c r="K39" i="31"/>
  <c r="M113" i="33"/>
  <c r="M157" i="1"/>
  <c r="M89" i="6"/>
  <c r="O4"/>
  <c r="L174" i="22"/>
  <c r="N9" i="32"/>
  <c r="N56" i="9"/>
  <c r="M171" i="30"/>
  <c r="L179" i="23"/>
  <c r="O167" i="16"/>
  <c r="O6" i="5"/>
  <c r="N109" i="22"/>
  <c r="K53" i="19"/>
  <c r="L178" i="30"/>
  <c r="O117" i="16"/>
  <c r="O122" i="21"/>
  <c r="L180" i="20"/>
  <c r="O88" i="6"/>
  <c r="O97" i="32"/>
  <c r="N85" i="22"/>
  <c r="M67" i="2"/>
  <c r="L38" i="19"/>
  <c r="N91" i="31"/>
  <c r="M25" i="25"/>
  <c r="K97" i="31"/>
  <c r="K28" i="20"/>
  <c r="L143" i="24"/>
  <c r="K134" i="21"/>
  <c r="O100" i="32"/>
  <c r="K16" i="9"/>
  <c r="K89" i="1"/>
  <c r="K134" i="5"/>
  <c r="N29" i="15"/>
  <c r="M64" i="16"/>
  <c r="N154" i="15"/>
  <c r="N125" i="12"/>
  <c r="K131" i="19"/>
  <c r="N110" i="6"/>
  <c r="L63" i="19"/>
  <c r="N18" i="24"/>
  <c r="M165" i="16"/>
  <c r="N118" i="22"/>
  <c r="M58" i="15"/>
  <c r="L115" i="29"/>
  <c r="N134" i="3"/>
  <c r="K141" i="22"/>
  <c r="M45" i="15"/>
  <c r="N158" i="11"/>
  <c r="O38" i="17"/>
  <c r="O182" i="33"/>
  <c r="K134" i="4"/>
  <c r="N23" i="26"/>
  <c r="O14" i="18"/>
  <c r="N107" i="9"/>
  <c r="K142" i="12"/>
  <c r="N160" i="10"/>
  <c r="O137" i="27"/>
  <c r="N97" i="1"/>
  <c r="L110" i="26"/>
  <c r="O34" i="24"/>
  <c r="K14" i="30"/>
  <c r="M125" i="18"/>
  <c r="M10"/>
  <c r="M172" i="27"/>
  <c r="L95" i="32"/>
  <c r="K47" i="20"/>
  <c r="O39" i="30"/>
  <c r="K38" i="19"/>
  <c r="L114" i="18"/>
  <c r="L95" i="6"/>
  <c r="O133" i="1"/>
  <c r="O153" i="20"/>
  <c r="O77" i="17"/>
  <c r="L16" i="27"/>
  <c r="K165" i="31"/>
  <c r="L37" i="19"/>
  <c r="L183" i="11"/>
  <c r="O37" i="30"/>
  <c r="M178" i="29"/>
  <c r="O33" i="12"/>
  <c r="M102" i="32"/>
  <c r="M160" i="6"/>
  <c r="M147" i="11"/>
  <c r="M113" i="23"/>
  <c r="M8"/>
  <c r="L72" i="15"/>
  <c r="L36" i="16"/>
  <c r="M13" i="17"/>
  <c r="O120" i="20"/>
  <c r="M60" i="5"/>
  <c r="O179" i="24"/>
  <c r="L101" i="32"/>
  <c r="M98" i="33"/>
  <c r="O108" i="31"/>
  <c r="O87" i="26"/>
  <c r="K167" i="23"/>
  <c r="O89" i="30"/>
  <c r="L106" i="3"/>
  <c r="K158" i="17"/>
  <c r="N121" i="23"/>
  <c r="K144" i="15"/>
  <c r="M94" i="4"/>
  <c r="O65" i="27"/>
  <c r="M117" i="10"/>
  <c r="N10" i="32"/>
  <c r="M98" i="29"/>
  <c r="M76" i="22"/>
  <c r="O71" i="21"/>
  <c r="O181" i="4"/>
  <c r="O137" i="18"/>
  <c r="L9" i="5"/>
  <c r="M165" i="32"/>
  <c r="L149" i="27"/>
  <c r="N182" i="16"/>
  <c r="M72" i="20"/>
  <c r="K20" i="24"/>
  <c r="L66" i="4"/>
  <c r="N19" i="27"/>
  <c r="L31" i="9"/>
  <c r="O119" i="11"/>
  <c r="L28" i="9"/>
  <c r="L36" i="6"/>
  <c r="K20" i="5"/>
  <c r="M71" i="20"/>
  <c r="L74" i="17"/>
  <c r="N180" i="23"/>
  <c r="O167" i="31"/>
  <c r="M64" i="22"/>
  <c r="K82" i="9"/>
  <c r="O165" i="16"/>
  <c r="L89" i="6"/>
  <c r="N145" i="4"/>
  <c r="K182" i="17"/>
  <c r="K25" i="5"/>
  <c r="M30" i="17"/>
  <c r="N92" i="19"/>
  <c r="L119" i="22"/>
  <c r="L11" i="30"/>
  <c r="M58" i="9"/>
  <c r="M161" i="10"/>
  <c r="N101" i="28"/>
  <c r="O72" i="17"/>
  <c r="K150" i="22"/>
  <c r="L13" i="20"/>
  <c r="N5" i="6"/>
  <c r="N31" i="9"/>
  <c r="L60" i="3"/>
  <c r="O114" i="16"/>
  <c r="K120" i="32"/>
  <c r="K143" i="12"/>
  <c r="M149" i="9"/>
  <c r="M150" i="33"/>
  <c r="L102" i="10"/>
  <c r="M98" i="5"/>
  <c r="K139" i="10"/>
  <c r="L36"/>
  <c r="L79" i="25"/>
  <c r="N82" i="12"/>
  <c r="L167" i="20"/>
  <c r="K66" i="6"/>
  <c r="O65" i="32"/>
  <c r="M30"/>
  <c r="K60" i="9"/>
  <c r="K77" i="12"/>
  <c r="O102" i="27"/>
  <c r="L111" i="33"/>
  <c r="M68" i="3"/>
  <c r="O163" i="15"/>
  <c r="N14" i="4"/>
  <c r="N87" i="19"/>
  <c r="K115" i="6"/>
  <c r="N169" i="26"/>
  <c r="L119" i="31"/>
  <c r="L98" i="22"/>
  <c r="L4" i="29"/>
  <c r="L4" i="4"/>
  <c r="O16" i="16"/>
  <c r="O112" i="1"/>
  <c r="N40" i="21"/>
  <c r="K107" i="10"/>
  <c r="L3" i="22"/>
  <c r="M160" i="5"/>
  <c r="O136"/>
  <c r="K59" i="21"/>
  <c r="L69" i="10"/>
  <c r="N136" i="22"/>
  <c r="M140" i="33"/>
  <c r="L43" i="21"/>
  <c r="O88" i="22"/>
  <c r="L114" i="23"/>
  <c r="N72" i="28"/>
  <c r="M80" i="15"/>
  <c r="K102" i="26"/>
  <c r="O140" i="20"/>
  <c r="K177" i="27"/>
  <c r="K185" i="12"/>
  <c r="L92" i="32"/>
  <c r="O176" i="11"/>
  <c r="O185" i="19"/>
  <c r="K154" i="4"/>
  <c r="N112" i="26"/>
  <c r="M100" i="18"/>
  <c r="K9"/>
  <c r="L108" i="20"/>
  <c r="K20" i="28"/>
  <c r="N73" i="9"/>
  <c r="M53" i="28"/>
  <c r="K3" i="31"/>
  <c r="L146" i="10"/>
  <c r="L61" i="19"/>
  <c r="O160" i="23"/>
  <c r="O94"/>
  <c r="K63" i="28"/>
  <c r="M109"/>
  <c r="M45" i="6"/>
  <c r="K162" i="25"/>
  <c r="O128" i="31"/>
  <c r="L126" i="18"/>
  <c r="O129" i="16"/>
  <c r="L44" i="17"/>
  <c r="M52" i="28"/>
  <c r="N97" i="3"/>
  <c r="M165" i="19"/>
  <c r="M169" i="28"/>
  <c r="M145" i="16"/>
  <c r="N99" i="20"/>
  <c r="M15" i="25"/>
  <c r="N81" i="23"/>
  <c r="O88" i="16"/>
  <c r="M50" i="9"/>
  <c r="O184" i="28"/>
  <c r="M95" i="2"/>
  <c r="O172" i="31"/>
  <c r="L58" i="6"/>
  <c r="N69" i="32"/>
  <c r="L69" i="17"/>
  <c r="N165" i="16"/>
  <c r="M95" i="11"/>
  <c r="O176" i="3"/>
  <c r="L15" i="17"/>
  <c r="N143" i="9"/>
  <c r="K96" i="5"/>
  <c r="N76" i="27"/>
  <c r="N78" i="3"/>
  <c r="M92" i="18"/>
  <c r="K60" i="28"/>
  <c r="O91" i="29"/>
  <c r="O169" i="10"/>
  <c r="K24"/>
  <c r="N3" i="16"/>
  <c r="O180" i="9"/>
  <c r="L63" i="30"/>
  <c r="N126" i="29"/>
  <c r="K132" i="22"/>
  <c r="O136" i="16"/>
  <c r="M23" i="21"/>
  <c r="K145" i="23"/>
  <c r="M51" i="15"/>
  <c r="M106" i="23"/>
  <c r="K21" i="27"/>
  <c r="N88" i="3"/>
  <c r="N123" i="15"/>
  <c r="K79" i="9"/>
  <c r="K11"/>
  <c r="O54" i="5"/>
  <c r="K21" i="30"/>
  <c r="N44"/>
  <c r="K118" i="21"/>
  <c r="L37" i="15"/>
  <c r="O63" i="33"/>
  <c r="L61" i="3"/>
  <c r="M122" i="27"/>
  <c r="L56" i="6"/>
  <c r="N65" i="32"/>
  <c r="O16" i="28"/>
  <c r="M133" i="5"/>
  <c r="N23" i="11"/>
  <c r="O169" i="30"/>
  <c r="K152" i="1"/>
  <c r="L66" i="29"/>
  <c r="L60" i="5"/>
  <c r="N162" i="22"/>
  <c r="K185" i="9"/>
  <c r="O14" i="29"/>
  <c r="O131" i="27"/>
  <c r="N34" i="26"/>
  <c r="K30" i="30"/>
  <c r="M35" i="9"/>
  <c r="N132" i="30"/>
  <c r="L100"/>
  <c r="K21" i="11"/>
  <c r="K86" i="29"/>
  <c r="L58" i="5"/>
  <c r="L21" i="30"/>
  <c r="M134"/>
  <c r="N171" i="31"/>
  <c r="L185" i="23"/>
  <c r="N122" i="15"/>
  <c r="O115" i="1"/>
  <c r="L129" i="23"/>
  <c r="N108" i="25"/>
  <c r="L169" i="18"/>
  <c r="O58" i="27"/>
  <c r="N68" i="1"/>
  <c r="O31" i="31"/>
  <c r="K131" i="9"/>
  <c r="K152" i="19"/>
  <c r="L118" i="27"/>
  <c r="M67" i="22"/>
  <c r="K86" i="1"/>
  <c r="L181" i="24"/>
  <c r="N117" i="22"/>
  <c r="M86" i="15"/>
  <c r="N132" i="17"/>
  <c r="O176" i="26"/>
  <c r="L78" i="3"/>
  <c r="L58" i="26"/>
  <c r="O47" i="31"/>
  <c r="O145" i="23"/>
  <c r="L11" i="28"/>
  <c r="M52" i="15"/>
  <c r="K88" i="25"/>
  <c r="L123" i="18"/>
  <c r="O95" i="11"/>
  <c r="M108" i="31"/>
  <c r="L75"/>
  <c r="O184" i="30"/>
  <c r="M169" i="22"/>
  <c r="N144" i="31"/>
  <c r="N65" i="27"/>
  <c r="N181" i="22"/>
  <c r="L128" i="10"/>
  <c r="O99" i="3"/>
  <c r="K47" i="1"/>
  <c r="O128" i="26"/>
  <c r="K155" i="28"/>
  <c r="O121" i="21"/>
  <c r="O67" i="10"/>
  <c r="K74" i="24"/>
  <c r="M125" i="28"/>
  <c r="N13" i="1"/>
  <c r="K151" i="27"/>
  <c r="K153" i="6"/>
  <c r="L98" i="9"/>
  <c r="N60" i="10"/>
  <c r="K173" i="17"/>
  <c r="L135" i="1"/>
  <c r="N141" i="23"/>
  <c r="O139" i="33"/>
  <c r="N157" i="27"/>
  <c r="N134" i="15"/>
  <c r="K180" i="10"/>
  <c r="K179" i="30"/>
  <c r="M4"/>
  <c r="L50" i="19"/>
  <c r="M167" i="12"/>
  <c r="O113" i="19"/>
  <c r="L181" i="31"/>
  <c r="K88" i="16"/>
  <c r="O123" i="30"/>
  <c r="K141" i="27"/>
  <c r="L161" i="33"/>
  <c r="L42" i="3"/>
  <c r="M179" i="16"/>
  <c r="M78" i="31"/>
  <c r="L97" i="3"/>
  <c r="K177" i="11"/>
  <c r="K53" i="32"/>
  <c r="N126" i="33"/>
  <c r="K53" i="1"/>
  <c r="K20" i="22"/>
  <c r="K172" i="6"/>
  <c r="K47"/>
  <c r="M157" i="12"/>
  <c r="O168" i="20"/>
  <c r="N37" i="19"/>
  <c r="L143" i="10"/>
  <c r="M40" i="29"/>
  <c r="O170" i="17"/>
  <c r="K87" i="23"/>
  <c r="L119" i="11"/>
  <c r="L74" i="9"/>
  <c r="O142" i="22"/>
  <c r="N160" i="29"/>
  <c r="N4" i="32"/>
  <c r="M21" i="26"/>
  <c r="K66" i="25"/>
  <c r="N157" i="24"/>
  <c r="L96" i="26"/>
  <c r="K170" i="10"/>
  <c r="K89" i="5"/>
  <c r="K39" i="23"/>
  <c r="M97" i="15"/>
  <c r="M111"/>
  <c r="M171" i="18"/>
  <c r="K149" i="3"/>
  <c r="O115" i="26"/>
  <c r="N76" i="9"/>
  <c r="M78" i="24"/>
  <c r="O76" i="3"/>
  <c r="N118" i="10"/>
  <c r="N56" i="6"/>
  <c r="M38" i="33"/>
  <c r="M52" i="17"/>
  <c r="M141" i="5"/>
  <c r="N107" i="15"/>
  <c r="M140" i="10"/>
  <c r="O141" i="22"/>
  <c r="M69" i="30"/>
  <c r="K101" i="26"/>
  <c r="O130" i="11"/>
  <c r="O153" i="9"/>
  <c r="O141" i="23"/>
  <c r="N108" i="3"/>
  <c r="M100" i="5"/>
  <c r="N149" i="27"/>
  <c r="M153" i="33"/>
  <c r="O98" i="27"/>
  <c r="L72" i="11"/>
  <c r="K19" i="32"/>
  <c r="M30" i="20"/>
  <c r="O165" i="23"/>
  <c r="O155" i="1"/>
  <c r="L144" i="15"/>
  <c r="N81" i="5"/>
  <c r="K71" i="27"/>
  <c r="K79" i="29"/>
  <c r="L153"/>
  <c r="L160" i="33"/>
  <c r="M68" i="17"/>
  <c r="M59" i="9"/>
  <c r="N45"/>
  <c r="M66" i="32"/>
  <c r="O147" i="3"/>
  <c r="O131"/>
  <c r="O49" i="15"/>
  <c r="O87" i="9"/>
  <c r="N46" i="31"/>
  <c r="K173" i="26"/>
  <c r="M145" i="25"/>
  <c r="N49" i="2"/>
  <c r="M14" i="3"/>
  <c r="N71" i="32"/>
  <c r="L173" i="27"/>
  <c r="M155" i="9"/>
  <c r="N106" i="5"/>
  <c r="O108" i="1"/>
  <c r="K54" i="10"/>
  <c r="L160" i="27"/>
  <c r="K141" i="16"/>
  <c r="O135" i="4"/>
  <c r="K125" i="19"/>
  <c r="O154" i="11"/>
  <c r="O20" i="30"/>
  <c r="L141" i="24"/>
  <c r="M11" i="22"/>
  <c r="L176" i="28"/>
  <c r="O172" i="27"/>
  <c r="L43" i="30"/>
  <c r="K89" i="9"/>
  <c r="K125" i="30"/>
  <c r="M173" i="29"/>
  <c r="O79" i="10"/>
  <c r="K25" i="12"/>
  <c r="K44" i="29"/>
  <c r="M97" i="12"/>
  <c r="K106" i="17"/>
  <c r="M112" i="31"/>
  <c r="L36"/>
  <c r="O20" i="21"/>
  <c r="L185" i="15"/>
  <c r="N119" i="22"/>
  <c r="N113" i="16"/>
  <c r="L28" i="1"/>
  <c r="M173" i="22"/>
  <c r="N45"/>
  <c r="O51" i="33"/>
  <c r="M157" i="2"/>
  <c r="M37" i="27"/>
  <c r="O173" i="28"/>
  <c r="L50" i="21"/>
  <c r="O68" i="28"/>
  <c r="K18" i="3"/>
  <c r="K123" i="30"/>
  <c r="M173" i="17"/>
  <c r="K24" i="32"/>
  <c r="K110" i="29"/>
  <c r="M36" i="1"/>
  <c r="M59" i="17"/>
  <c r="K59" i="29"/>
  <c r="M157" i="27"/>
  <c r="M98" i="9"/>
  <c r="O60" i="21"/>
  <c r="O179" i="11"/>
  <c r="M176" i="15"/>
  <c r="M133" i="22"/>
  <c r="N15" i="26"/>
  <c r="M174" i="5"/>
  <c r="M177" i="33"/>
  <c r="L67" i="30"/>
  <c r="M148" i="31"/>
  <c r="O65" i="23"/>
  <c r="M38" i="32"/>
  <c r="N10" i="18"/>
  <c r="M170" i="6"/>
  <c r="L182" i="20"/>
  <c r="K163" i="9"/>
  <c r="O160" i="15"/>
  <c r="N100" i="12"/>
  <c r="N80" i="30"/>
  <c r="N111" i="28"/>
  <c r="O81" i="26"/>
  <c r="K144" i="12"/>
  <c r="M72" i="16"/>
  <c r="O123" i="33"/>
  <c r="M159" i="5"/>
  <c r="N42" i="29"/>
  <c r="M88" i="16"/>
  <c r="N25" i="32"/>
  <c r="M142" i="25"/>
  <c r="M11" i="27"/>
  <c r="L11" i="22"/>
  <c r="O42" i="5"/>
  <c r="M60" i="19"/>
  <c r="K25" i="17"/>
  <c r="K96" i="9"/>
  <c r="N155" i="27"/>
  <c r="K165" i="5"/>
  <c r="K141" i="6"/>
  <c r="L166" i="3"/>
  <c r="N11" i="28"/>
  <c r="O132" i="9"/>
  <c r="K33" i="29"/>
  <c r="O40" i="15"/>
  <c r="L68" i="9"/>
  <c r="N69" i="1"/>
  <c r="N158" i="17"/>
  <c r="L102" i="29"/>
  <c r="O110" i="31"/>
  <c r="N72"/>
  <c r="K166" i="28"/>
  <c r="L107" i="9"/>
  <c r="N147" i="23"/>
  <c r="L38"/>
  <c r="L121" i="32"/>
  <c r="M97" i="23"/>
  <c r="L74" i="32"/>
  <c r="M166" i="10"/>
  <c r="O84" i="29"/>
  <c r="O162" i="32"/>
  <c r="N31" i="18"/>
  <c r="L18" i="6"/>
  <c r="N150" i="29"/>
  <c r="L24" i="28"/>
  <c r="L19" i="32"/>
  <c r="M57" i="19"/>
  <c r="K15" i="33"/>
  <c r="O167" i="19"/>
  <c r="N39" i="25"/>
  <c r="K159" i="18"/>
  <c r="N101" i="23"/>
  <c r="L82" i="22"/>
  <c r="O73" i="26"/>
  <c r="M113" i="6"/>
  <c r="K10" i="12"/>
  <c r="K79" i="2"/>
  <c r="O76" i="10"/>
  <c r="L168" i="24"/>
  <c r="M181" i="21"/>
  <c r="K4" i="32"/>
  <c r="L126" i="30"/>
  <c r="L30" i="25"/>
  <c r="M14" i="26"/>
  <c r="O142" i="20"/>
  <c r="M183" i="10"/>
  <c r="O31" i="5"/>
  <c r="O147" i="32"/>
  <c r="K49" i="9"/>
  <c r="M181" i="30"/>
  <c r="O96" i="33"/>
  <c r="M26" i="4"/>
  <c r="K113" i="21"/>
  <c r="N118" i="24"/>
  <c r="N78" i="28"/>
  <c r="K141" i="12"/>
  <c r="L180" i="31"/>
  <c r="K3" i="15"/>
  <c r="K53" i="31"/>
  <c r="K141" i="24"/>
  <c r="O140" i="23"/>
  <c r="N171" i="11"/>
  <c r="K180" i="21"/>
  <c r="M14" i="5"/>
  <c r="L122" i="24"/>
  <c r="N78" i="12"/>
  <c r="L10" i="22"/>
  <c r="L65" i="19"/>
  <c r="N64" i="18"/>
  <c r="N91"/>
  <c r="N110" i="20"/>
  <c r="L185" i="26"/>
  <c r="M6" i="1"/>
  <c r="N67" i="6"/>
  <c r="O109" i="26"/>
  <c r="N130" i="11"/>
  <c r="O128" i="25"/>
  <c r="L126" i="20"/>
  <c r="M5" i="24"/>
  <c r="O166" i="2"/>
  <c r="L151" i="33"/>
  <c r="L112" i="4"/>
  <c r="O131" i="19"/>
  <c r="M28" i="29"/>
  <c r="K44" i="32"/>
  <c r="K152" i="25"/>
  <c r="N161" i="9"/>
  <c r="K145" i="27"/>
  <c r="K113" i="11"/>
  <c r="K161"/>
  <c r="M11" i="16"/>
  <c r="N95" i="32"/>
  <c r="L58" i="15"/>
  <c r="L142" i="28"/>
  <c r="N153" i="12"/>
  <c r="K142" i="3"/>
  <c r="M46" i="19"/>
  <c r="N61" i="10"/>
  <c r="O163" i="28"/>
  <c r="N153" i="17"/>
  <c r="O125" i="30"/>
  <c r="L24" i="33"/>
  <c r="M131" i="22"/>
  <c r="K106" i="26"/>
  <c r="K98" i="21"/>
  <c r="M77"/>
  <c r="N81" i="17"/>
  <c r="N54" i="28"/>
  <c r="N30" i="23"/>
  <c r="O82" i="33"/>
  <c r="K155" i="4"/>
  <c r="M68" i="27"/>
  <c r="M30" i="18"/>
  <c r="N154" i="11"/>
  <c r="K39" i="12"/>
  <c r="O21" i="20"/>
  <c r="M78" i="3"/>
  <c r="L97" i="26"/>
  <c r="L128" i="18"/>
  <c r="K14" i="10"/>
  <c r="K96" i="16"/>
  <c r="K134" i="26"/>
  <c r="K29" i="12"/>
  <c r="K56" i="18"/>
  <c r="M38" i="4"/>
  <c r="M150" i="17"/>
  <c r="L157" i="31"/>
  <c r="M116" i="29"/>
  <c r="N47" i="9"/>
  <c r="M152" i="20"/>
  <c r="O56" i="17"/>
  <c r="N92" i="18"/>
  <c r="K166" i="2"/>
  <c r="O51" i="15"/>
  <c r="N42" i="10"/>
  <c r="L179" i="20"/>
  <c r="N158" i="6"/>
  <c r="L171" i="18"/>
  <c r="K10" i="29"/>
  <c r="L173" i="12"/>
  <c r="K23" i="5"/>
  <c r="N139" i="4"/>
  <c r="L172" i="21"/>
  <c r="M95" i="16"/>
  <c r="L165" i="19"/>
  <c r="O147" i="28"/>
  <c r="K54" i="6"/>
  <c r="L51" i="24"/>
  <c r="L50" i="15"/>
  <c r="N81" i="16"/>
  <c r="K183" i="24"/>
  <c r="K80" i="16"/>
  <c r="M45" i="11"/>
  <c r="K157" i="10"/>
  <c r="M35" i="17"/>
  <c r="L45" i="15"/>
  <c r="L110" i="1"/>
  <c r="L18" i="2"/>
  <c r="M117" i="32"/>
  <c r="K153" i="24"/>
  <c r="N127" i="20"/>
  <c r="M34" i="15"/>
  <c r="M140" i="25"/>
  <c r="N14" i="21"/>
  <c r="M183" i="26"/>
  <c r="O97" i="9"/>
  <c r="O125" i="15"/>
  <c r="M30" i="25"/>
  <c r="M108" i="29"/>
  <c r="O87" i="23"/>
  <c r="M94" i="6"/>
  <c r="K161" i="9"/>
  <c r="K140" i="22"/>
  <c r="L37" i="23"/>
  <c r="O25" i="26"/>
  <c r="N111" i="32"/>
  <c r="N69" i="23"/>
  <c r="N108" i="24"/>
  <c r="M4" i="29"/>
  <c r="O154" i="17"/>
  <c r="N31" i="15"/>
  <c r="K117" i="23"/>
  <c r="K155" i="15"/>
  <c r="N166" i="1"/>
  <c r="L80" i="25"/>
  <c r="L38" i="24"/>
  <c r="K127" i="16"/>
  <c r="M11" i="29"/>
  <c r="M148" i="17"/>
  <c r="M24" i="16"/>
  <c r="O109" i="27"/>
  <c r="O9" i="19"/>
  <c r="L44" i="12"/>
  <c r="N34" i="1"/>
  <c r="O172" i="3"/>
  <c r="O157" i="22"/>
  <c r="O182" i="19"/>
  <c r="K134" i="1"/>
  <c r="O21" i="18"/>
  <c r="L106" i="12"/>
  <c r="N60" i="26"/>
  <c r="M107" i="28"/>
  <c r="N40" i="27"/>
  <c r="N29" i="12"/>
  <c r="M183" i="24"/>
  <c r="K142" i="20"/>
  <c r="N71" i="31"/>
  <c r="O73" i="19"/>
  <c r="M53" i="16"/>
  <c r="M63" i="4"/>
  <c r="N18"/>
  <c r="N49"/>
  <c r="N51" i="3"/>
  <c r="M172" i="26"/>
  <c r="L127" i="10"/>
  <c r="L122" i="4"/>
  <c r="N59" i="21"/>
  <c r="M13" i="26"/>
  <c r="K35"/>
  <c r="K24" i="2"/>
  <c r="O118" i="21"/>
  <c r="N78" i="6"/>
  <c r="K88" i="22"/>
  <c r="K170" i="1"/>
  <c r="L157" i="11"/>
  <c r="N165"/>
  <c r="M108" i="18"/>
  <c r="N97" i="33"/>
  <c r="K43" i="16"/>
  <c r="M9" i="26"/>
  <c r="M174" i="33"/>
  <c r="M49" i="19"/>
  <c r="O88" i="4"/>
  <c r="K72" i="15"/>
  <c r="K4" i="23"/>
  <c r="K97" i="4"/>
  <c r="K176" i="24"/>
  <c r="M69" i="27"/>
  <c r="M86" i="18"/>
  <c r="N71" i="22"/>
  <c r="K56" i="17"/>
  <c r="L155" i="18"/>
  <c r="L132" i="28"/>
  <c r="M168" i="26"/>
  <c r="O113" i="16"/>
  <c r="L146" i="28"/>
  <c r="M73" i="23"/>
  <c r="O150" i="3"/>
  <c r="L58" i="31"/>
  <c r="O33" i="28"/>
  <c r="O121" i="17"/>
  <c r="K140" i="31"/>
  <c r="K157" i="28"/>
  <c r="O108" i="24"/>
  <c r="N174" i="2"/>
  <c r="O65" i="18"/>
  <c r="N172" i="25"/>
  <c r="N130" i="22"/>
  <c r="O98" i="1"/>
  <c r="M49" i="24"/>
  <c r="L49" i="19"/>
  <c r="O36" i="25"/>
  <c r="L6" i="11"/>
  <c r="L11" i="5"/>
  <c r="M71" i="28"/>
  <c r="O114" i="24"/>
  <c r="O81" i="16"/>
  <c r="K118" i="2"/>
  <c r="K109" i="17"/>
  <c r="L170" i="29"/>
  <c r="N98" i="11"/>
  <c r="O98" i="15"/>
  <c r="O46" i="16"/>
  <c r="N122" i="33"/>
  <c r="M113" i="30"/>
  <c r="L61"/>
  <c r="K102" i="18"/>
  <c r="L29" i="24"/>
  <c r="K59" i="28"/>
  <c r="M123" i="25"/>
  <c r="O95" i="16"/>
  <c r="M30" i="30"/>
  <c r="N77" i="6"/>
  <c r="M132" i="17"/>
  <c r="L170" i="21"/>
  <c r="K174" i="31"/>
  <c r="M59"/>
  <c r="N63" i="3"/>
  <c r="O141" i="33"/>
  <c r="N92" i="9"/>
  <c r="N143" i="30"/>
  <c r="N79" i="2"/>
  <c r="M92" i="22"/>
  <c r="K59" i="11"/>
  <c r="L145" i="15"/>
  <c r="N133" i="16"/>
  <c r="K151"/>
  <c r="N50" i="10"/>
  <c r="N43" i="29"/>
  <c r="N152" i="15"/>
  <c r="M161" i="4"/>
  <c r="M167" i="21"/>
  <c r="N155" i="16"/>
  <c r="K52" i="11"/>
  <c r="K131" i="16"/>
  <c r="L145" i="29"/>
  <c r="N139" i="18"/>
  <c r="M163" i="9"/>
  <c r="M120" i="10"/>
  <c r="K80" i="12"/>
  <c r="N76"/>
  <c r="O42" i="6"/>
  <c r="N98" i="31"/>
  <c r="L168" i="10"/>
  <c r="K131" i="3"/>
  <c r="M102" i="6"/>
  <c r="L20" i="3"/>
  <c r="M76" i="10"/>
  <c r="O20" i="4"/>
  <c r="O146" i="2"/>
  <c r="O58"/>
  <c r="M20" i="33"/>
  <c r="L66" i="25"/>
  <c r="O180"/>
  <c r="L122" i="23"/>
  <c r="K26" i="32"/>
  <c r="O157" i="4"/>
  <c r="N151" i="23"/>
  <c r="O87" i="10"/>
  <c r="M21" i="25"/>
  <c r="L181" i="22"/>
  <c r="K119" i="23"/>
  <c r="N108" i="22"/>
  <c r="N44" i="10"/>
  <c r="O117" i="24"/>
  <c r="M122" i="28"/>
  <c r="N21" i="23"/>
  <c r="K58" i="5"/>
  <c r="K137" i="25"/>
  <c r="O129" i="9"/>
  <c r="L15" i="4"/>
  <c r="M148" i="1"/>
  <c r="M26" i="10"/>
  <c r="L89" i="23"/>
  <c r="O59" i="30"/>
  <c r="K84" i="29"/>
  <c r="M67" i="6"/>
  <c r="K30" i="10"/>
  <c r="L113" i="22"/>
  <c r="N39" i="27"/>
  <c r="K33" i="32"/>
  <c r="O68" i="27"/>
  <c r="O108" i="29"/>
  <c r="M150" i="27"/>
  <c r="L74" i="29"/>
  <c r="K66" i="18"/>
  <c r="M86" i="23"/>
  <c r="L151" i="31"/>
  <c r="N10" i="27"/>
  <c r="K116" i="19"/>
  <c r="K115" i="1"/>
  <c r="L145" i="30"/>
  <c r="M162" i="33"/>
  <c r="O33" i="23"/>
  <c r="N36" i="30"/>
  <c r="M10" i="28"/>
  <c r="N89" i="9"/>
  <c r="O181" i="23"/>
  <c r="L20" i="9"/>
  <c r="L38" i="30"/>
  <c r="M108" i="27"/>
  <c r="K177" i="32"/>
  <c r="N28" i="6"/>
  <c r="M4" i="23"/>
  <c r="K28" i="6"/>
  <c r="L97" i="17"/>
  <c r="L158" i="23"/>
  <c r="N184" i="30"/>
  <c r="K133" i="5"/>
  <c r="K98"/>
  <c r="K42" i="29"/>
  <c r="K66" i="22"/>
  <c r="K126" i="1"/>
  <c r="L78" i="12"/>
  <c r="L147" i="16"/>
  <c r="M177" i="19"/>
  <c r="K13" i="30"/>
  <c r="K113" i="23"/>
  <c r="K173" i="15"/>
  <c r="N153" i="16"/>
  <c r="M176" i="33"/>
  <c r="N50" i="9"/>
  <c r="N117" i="1"/>
  <c r="L47" i="23"/>
  <c r="K23" i="30"/>
  <c r="M147" i="16"/>
  <c r="N60" i="3"/>
  <c r="M29" i="6"/>
  <c r="L33" i="19"/>
  <c r="K64" i="20"/>
  <c r="O165" i="6"/>
  <c r="N25" i="25"/>
  <c r="O78" i="12"/>
  <c r="M94" i="15"/>
  <c r="K47" i="24"/>
  <c r="N137" i="5"/>
  <c r="O76" i="11"/>
  <c r="M73" i="4"/>
  <c r="M9" i="22"/>
  <c r="O121" i="26"/>
  <c r="O45" i="32"/>
  <c r="M82" i="20"/>
  <c r="O92" i="25"/>
  <c r="K6" i="15"/>
  <c r="O129" i="32"/>
  <c r="N116" i="18"/>
  <c r="M50" i="4"/>
  <c r="M137" i="25"/>
  <c r="L109" i="2"/>
  <c r="M64" i="26"/>
  <c r="M133" i="30"/>
  <c r="L135" i="6"/>
  <c r="N49" i="17"/>
  <c r="N92" i="3"/>
  <c r="K25" i="22"/>
  <c r="K73"/>
  <c r="L116" i="23"/>
  <c r="M33" i="20"/>
  <c r="M80" i="26"/>
  <c r="L80" i="28"/>
  <c r="M129" i="16"/>
  <c r="M122" i="1"/>
  <c r="M169" i="29"/>
  <c r="M177" i="6"/>
  <c r="K72" i="1"/>
  <c r="M100" i="23"/>
  <c r="L107" i="18"/>
  <c r="K75" i="9"/>
  <c r="L8" i="11"/>
  <c r="O146" i="28"/>
  <c r="L5" i="10"/>
  <c r="L170" i="20"/>
  <c r="M92" i="28"/>
  <c r="L177" i="17"/>
  <c r="L31" i="32"/>
  <c r="L159" i="4"/>
  <c r="K109" i="18"/>
  <c r="L101" i="21"/>
  <c r="O134" i="27"/>
  <c r="M142" i="16"/>
  <c r="O44" i="27"/>
  <c r="L147" i="22"/>
  <c r="L61" i="5"/>
  <c r="O54" i="22"/>
  <c r="N28" i="15"/>
  <c r="M177" i="17"/>
  <c r="N152" i="5"/>
  <c r="L132" i="6"/>
  <c r="N168" i="5"/>
  <c r="O34" i="22"/>
  <c r="M51"/>
  <c r="K119" i="5"/>
  <c r="N57" i="21"/>
  <c r="O157" i="20"/>
  <c r="K30" i="6"/>
  <c r="O135" i="31"/>
  <c r="K96" i="1"/>
  <c r="M84" i="21"/>
  <c r="N45" i="27"/>
  <c r="L85" i="15"/>
  <c r="K176" i="10"/>
  <c r="L139" i="33"/>
  <c r="M34" i="4"/>
  <c r="K44" i="5"/>
  <c r="K125" i="31"/>
  <c r="L157" i="18"/>
  <c r="M66" i="3"/>
  <c r="L76" i="9"/>
  <c r="N14" i="23"/>
  <c r="M49" i="16"/>
  <c r="K46" i="5"/>
  <c r="O4" i="1"/>
  <c r="L149"/>
  <c r="K165" i="4"/>
  <c r="K166" i="30"/>
  <c r="M53" i="1"/>
  <c r="K147" i="27"/>
  <c r="O97" i="28"/>
  <c r="M57" i="1"/>
  <c r="L97" i="23"/>
  <c r="O30" i="1"/>
  <c r="K9"/>
  <c r="L111" i="3"/>
  <c r="L133" i="6"/>
  <c r="K88" i="15"/>
  <c r="M160" i="1"/>
  <c r="M68" i="33"/>
  <c r="N42" i="15"/>
  <c r="M74" i="16"/>
  <c r="L47" i="6"/>
  <c r="L134" i="16"/>
  <c r="N15" i="4"/>
  <c r="L184" i="18"/>
  <c r="M93" i="19"/>
  <c r="O122" i="20"/>
  <c r="L4" i="9"/>
  <c r="N98" i="23"/>
  <c r="M179" i="3"/>
  <c r="O76" i="22"/>
  <c r="K65" i="1"/>
  <c r="L30" i="19"/>
  <c r="L184" i="6"/>
  <c r="O155" i="28"/>
  <c r="M145" i="10"/>
  <c r="O93" i="24"/>
  <c r="K6" i="5"/>
  <c r="L21" i="10"/>
  <c r="L102" i="5"/>
  <c r="M24" i="31"/>
  <c r="N5" i="4"/>
  <c r="K39" i="10"/>
  <c r="O38" i="24"/>
  <c r="K53" i="16"/>
  <c r="M64" i="28"/>
  <c r="K153" i="5"/>
  <c r="M40" i="30"/>
  <c r="L135" i="31"/>
  <c r="N45" i="17"/>
  <c r="K33" i="20"/>
  <c r="O10"/>
  <c r="K174" i="24"/>
  <c r="O152" i="6"/>
  <c r="N80" i="17"/>
  <c r="O160" i="20"/>
  <c r="L163" i="2"/>
  <c r="K114" i="26"/>
  <c r="K13" i="11"/>
  <c r="L23" i="19"/>
  <c r="L84" i="17"/>
  <c r="N142" i="6"/>
  <c r="O69" i="23"/>
  <c r="L16" i="2"/>
  <c r="O44" i="22"/>
  <c r="L72" i="27"/>
  <c r="K19" i="31"/>
  <c r="M72" i="5"/>
  <c r="L143" i="2"/>
  <c r="M94" i="28"/>
  <c r="K6" i="23"/>
  <c r="O183" i="25"/>
  <c r="N174" i="21"/>
  <c r="K66" i="23"/>
  <c r="L66" i="31"/>
  <c r="O148" i="18"/>
  <c r="K176" i="31"/>
  <c r="M6" i="4"/>
  <c r="K109" i="6"/>
  <c r="O135" i="32"/>
  <c r="N170" i="15"/>
  <c r="N16" i="26"/>
  <c r="M94" i="17"/>
  <c r="M82" i="19"/>
  <c r="K54" i="24"/>
  <c r="O108" i="30"/>
  <c r="M35" i="22"/>
  <c r="O65" i="30"/>
  <c r="M101" i="11"/>
  <c r="M54" i="17"/>
  <c r="M91" i="9"/>
  <c r="N39" i="10"/>
  <c r="O53" i="23"/>
  <c r="L158" i="16"/>
  <c r="L155" i="30"/>
  <c r="L50" i="5"/>
  <c r="O145" i="30"/>
  <c r="N141" i="6"/>
  <c r="O9" i="32"/>
  <c r="O68" i="6"/>
  <c r="L141" i="29"/>
  <c r="K38" i="25"/>
  <c r="M128" i="2"/>
  <c r="N170" i="29"/>
  <c r="L63" i="6"/>
  <c r="K77" i="11"/>
  <c r="N134" i="31"/>
  <c r="N125" i="28"/>
  <c r="L66" i="21"/>
  <c r="O89" i="2"/>
  <c r="N167" i="29"/>
  <c r="O172" i="32"/>
  <c r="M19" i="5"/>
  <c r="M127" i="17"/>
  <c r="L33" i="10"/>
  <c r="M137" i="27"/>
  <c r="M178" i="10"/>
  <c r="M8" i="25"/>
  <c r="L56" i="11"/>
  <c r="L112" i="30"/>
  <c r="O26" i="31"/>
  <c r="N65" i="20"/>
  <c r="O63" i="26"/>
  <c r="L115" i="3"/>
  <c r="L73" i="25"/>
  <c r="N110" i="12"/>
  <c r="M112" i="33"/>
  <c r="M65" i="1"/>
  <c r="K30" i="16"/>
  <c r="M161" i="18"/>
  <c r="M171" i="1"/>
  <c r="O145" i="17"/>
  <c r="M172" i="5"/>
  <c r="N151" i="22"/>
  <c r="O134"/>
  <c r="O5" i="24"/>
  <c r="O74" i="22"/>
  <c r="N168" i="17"/>
  <c r="O173" i="11"/>
  <c r="L167" i="29"/>
  <c r="L168" i="4"/>
  <c r="N69" i="30"/>
  <c r="M80" i="19"/>
  <c r="O54" i="3"/>
  <c r="M29" i="18"/>
  <c r="O67" i="33"/>
  <c r="N38" i="11"/>
  <c r="M174" i="30"/>
  <c r="L15" i="3"/>
  <c r="L125" i="31"/>
  <c r="M168" i="19"/>
  <c r="K130" i="5"/>
  <c r="O33" i="30"/>
  <c r="K149" i="11"/>
  <c r="K184" i="6"/>
  <c r="L179" i="32"/>
  <c r="L176" i="3"/>
  <c r="N162" i="26"/>
  <c r="N176" i="22"/>
  <c r="L36" i="5"/>
  <c r="N95" i="9"/>
  <c r="O151" i="21"/>
  <c r="L96" i="22"/>
  <c r="L158" i="4"/>
  <c r="L120" i="27"/>
  <c r="K37"/>
  <c r="K141" i="11"/>
  <c r="N111" i="31"/>
  <c r="O139"/>
  <c r="N40" i="11"/>
  <c r="O36" i="16"/>
  <c r="O154" i="33"/>
  <c r="N80" i="1"/>
  <c r="O145" i="25"/>
  <c r="O11" i="19"/>
  <c r="L155" i="31"/>
  <c r="L125" i="25"/>
  <c r="L92" i="10"/>
  <c r="L101" i="30"/>
  <c r="N93" i="32"/>
  <c r="N147" i="6"/>
  <c r="O180" i="30"/>
  <c r="L110" i="10"/>
  <c r="M47" i="3"/>
  <c r="K158" i="31"/>
  <c r="N13"/>
  <c r="O74" i="24"/>
  <c r="K136" i="29"/>
  <c r="L9" i="1"/>
  <c r="L9" i="15"/>
  <c r="N126" i="27"/>
  <c r="O82" i="32"/>
  <c r="L157" i="10"/>
  <c r="M81" i="29"/>
  <c r="N97" i="20"/>
  <c r="K19" i="2"/>
  <c r="M132" i="11"/>
  <c r="M47" i="15"/>
  <c r="M149" i="12"/>
  <c r="N101" i="17"/>
  <c r="N169" i="15"/>
  <c r="O153" i="33"/>
  <c r="L14" i="21"/>
  <c r="K172" i="5"/>
  <c r="O42" i="30"/>
  <c r="M16" i="15"/>
  <c r="M116" i="2"/>
  <c r="N139" i="1"/>
  <c r="O25" i="5"/>
  <c r="L172"/>
  <c r="L60" i="4"/>
  <c r="O64" i="10"/>
  <c r="N23" i="31"/>
  <c r="N95" i="3"/>
  <c r="O141" i="1"/>
  <c r="L75" i="17"/>
  <c r="K66" i="5"/>
  <c r="N75" i="3"/>
  <c r="M44" i="18"/>
  <c r="M57" i="24"/>
  <c r="M149" i="15"/>
  <c r="M25" i="5"/>
  <c r="O84"/>
  <c r="N137" i="25"/>
  <c r="M112" i="3"/>
  <c r="M69" i="28"/>
  <c r="L89" i="18"/>
  <c r="O97" i="33"/>
  <c r="L61" i="27"/>
  <c r="M127"/>
  <c r="N14" i="25"/>
  <c r="M116" i="10"/>
  <c r="M143" i="12"/>
  <c r="O30" i="26"/>
  <c r="K3" i="28"/>
  <c r="M118" i="2"/>
  <c r="N154" i="27"/>
  <c r="N85" i="5"/>
  <c r="K52" i="2"/>
  <c r="K51" i="32"/>
  <c r="O14"/>
  <c r="O115" i="30"/>
  <c r="L75" i="24"/>
  <c r="M148" i="19"/>
  <c r="O114" i="32"/>
  <c r="M165" i="33"/>
  <c r="N49" i="22"/>
  <c r="M91" i="5"/>
  <c r="L143" i="9"/>
  <c r="K45" i="2"/>
  <c r="O52" i="20"/>
  <c r="L94" i="6"/>
  <c r="O24" i="20"/>
  <c r="K121" i="16"/>
  <c r="N77" i="1"/>
  <c r="L109"/>
  <c r="K35" i="23"/>
  <c r="O108" i="25"/>
  <c r="M109" i="33"/>
  <c r="O119" i="31"/>
  <c r="M23" i="19"/>
  <c r="O170" i="5"/>
  <c r="O176" i="1"/>
  <c r="N145" i="11"/>
  <c r="M63" i="32"/>
  <c r="N72" i="33"/>
  <c r="K94" i="1"/>
  <c r="K49" i="15"/>
  <c r="L123" i="30"/>
  <c r="K40" i="27"/>
  <c r="M9" i="29"/>
  <c r="O14" i="1"/>
  <c r="K111" i="6"/>
  <c r="L72"/>
  <c r="M53" i="12"/>
  <c r="M19" i="6"/>
  <c r="L57" i="22"/>
  <c r="N89" i="5"/>
  <c r="L94" i="23"/>
  <c r="K34" i="2"/>
  <c r="L109" i="28"/>
  <c r="N114" i="10"/>
  <c r="M34" i="27"/>
  <c r="L109" i="26"/>
  <c r="M151" i="23"/>
  <c r="L153" i="19"/>
  <c r="O140" i="32"/>
  <c r="L92" i="5"/>
  <c r="K99"/>
  <c r="N97" i="23"/>
  <c r="L53" i="30"/>
  <c r="M143" i="15"/>
  <c r="L118" i="6"/>
  <c r="M88" i="32"/>
  <c r="N94" i="20"/>
  <c r="N176" i="1"/>
  <c r="N120" i="23"/>
  <c r="N24" i="19"/>
  <c r="L84" i="18"/>
  <c r="M168" i="11"/>
  <c r="N149" i="5"/>
  <c r="K179" i="20"/>
  <c r="L99" i="27"/>
  <c r="M86"/>
  <c r="O159" i="5"/>
  <c r="M33" i="12"/>
  <c r="L181" i="4"/>
  <c r="N20" i="27"/>
  <c r="O96" i="1"/>
  <c r="N71" i="28"/>
  <c r="N127" i="31"/>
  <c r="M118" i="6"/>
  <c r="O123" i="9"/>
  <c r="N99" i="17"/>
  <c r="K51" i="23"/>
  <c r="L8" i="5"/>
  <c r="L28" i="3"/>
  <c r="M141" i="10"/>
  <c r="M13" i="1"/>
  <c r="N122" i="17"/>
  <c r="O120" i="30"/>
  <c r="N139"/>
  <c r="O16" i="22"/>
  <c r="M173" i="12"/>
  <c r="M150" i="3"/>
  <c r="K26" i="26"/>
  <c r="N148" i="21"/>
  <c r="N21" i="31"/>
  <c r="O182" i="24"/>
  <c r="M152" i="16"/>
  <c r="N84" i="18"/>
  <c r="K108" i="24"/>
  <c r="M5" i="2"/>
  <c r="L100"/>
  <c r="N180" i="26"/>
  <c r="N178" i="33"/>
  <c r="M65" i="4"/>
  <c r="L112" i="19"/>
  <c r="L162" i="30"/>
  <c r="K23" i="9"/>
  <c r="O57" i="6"/>
  <c r="O95" i="30"/>
  <c r="L25" i="5"/>
  <c r="M166" i="27"/>
  <c r="N44" i="33"/>
  <c r="N133" i="27"/>
  <c r="L146" i="16"/>
  <c r="M5" i="26"/>
  <c r="L11" i="2"/>
  <c r="O166" i="27"/>
  <c r="L23" i="25"/>
  <c r="O39" i="32"/>
  <c r="K77" i="1"/>
  <c r="M116" i="25"/>
  <c r="L38" i="20"/>
  <c r="O102" i="1"/>
  <c r="L40" i="9"/>
  <c r="O29" i="32"/>
  <c r="K182" i="31"/>
  <c r="M49" i="1"/>
  <c r="O38" i="2"/>
  <c r="N172" i="18"/>
  <c r="M150" i="23"/>
  <c r="K178" i="22"/>
  <c r="M151"/>
  <c r="K155" i="1"/>
  <c r="O24" i="17"/>
  <c r="K153" i="22"/>
  <c r="O44" i="26"/>
  <c r="M54" i="20"/>
  <c r="L89" i="12"/>
  <c r="M169" i="30"/>
  <c r="M110" i="17"/>
  <c r="K69" i="5"/>
  <c r="O108" i="32"/>
  <c r="L49" i="29"/>
  <c r="L97" i="33"/>
  <c r="M13" i="23"/>
  <c r="K33" i="12"/>
  <c r="O4" i="28"/>
  <c r="K159" i="22"/>
  <c r="M150" i="21"/>
  <c r="K135" i="31"/>
  <c r="N87" i="6"/>
  <c r="M26" i="27"/>
  <c r="O3" i="30"/>
  <c r="L94" i="21"/>
  <c r="M101" i="30"/>
  <c r="K54" i="20"/>
  <c r="L88" i="22"/>
  <c r="L15" i="32"/>
  <c r="K57" i="30"/>
  <c r="M37" i="12"/>
  <c r="O171" i="27"/>
  <c r="L53" i="2"/>
  <c r="O96" i="4"/>
  <c r="O80" i="25"/>
  <c r="N6" i="9"/>
  <c r="M107" i="29"/>
  <c r="K63" i="11"/>
  <c r="O49" i="19"/>
  <c r="K6"/>
  <c r="L146" i="4"/>
  <c r="M159" i="30"/>
  <c r="K73" i="28"/>
  <c r="M73" i="9"/>
  <c r="K74" i="25"/>
  <c r="K39" i="11"/>
  <c r="M119" i="25"/>
  <c r="L152" i="5"/>
  <c r="L92" i="1"/>
  <c r="K54" i="28"/>
  <c r="O119" i="17"/>
  <c r="O183" i="26"/>
  <c r="L85" i="16"/>
  <c r="K45" i="3"/>
  <c r="L76" i="29"/>
  <c r="M177" i="12"/>
  <c r="N91" i="24"/>
  <c r="N61"/>
  <c r="L102" i="31"/>
  <c r="M73" i="11"/>
  <c r="N171" i="27"/>
  <c r="M61" i="15"/>
  <c r="L46" i="24"/>
  <c r="O76" i="28"/>
  <c r="O5" i="16"/>
  <c r="M129" i="6"/>
  <c r="K24" i="26"/>
  <c r="O109" i="32"/>
  <c r="N162" i="28"/>
  <c r="M144" i="31"/>
  <c r="O45" i="29"/>
  <c r="L75" i="25"/>
  <c r="K129" i="5"/>
  <c r="L33" i="24"/>
  <c r="M151"/>
  <c r="L97" i="5"/>
  <c r="K98" i="16"/>
  <c r="M157" i="33"/>
  <c r="L38" i="31"/>
  <c r="O63" i="11"/>
  <c r="K112" i="1"/>
  <c r="L30" i="4"/>
  <c r="O20" i="10"/>
  <c r="L35" i="28"/>
  <c r="L61" i="16"/>
  <c r="L185" i="33"/>
  <c r="N13" i="28"/>
  <c r="L166" i="12"/>
  <c r="O75" i="28"/>
  <c r="M95" i="6"/>
  <c r="L72" i="33"/>
  <c r="N123" i="6"/>
  <c r="K81" i="24"/>
  <c r="K49" i="20"/>
  <c r="N111" i="18"/>
  <c r="O166" i="26"/>
  <c r="N166" i="16"/>
  <c r="L38" i="4"/>
  <c r="O121" i="24"/>
  <c r="O96" i="31"/>
  <c r="K169" i="26"/>
  <c r="L49" i="28"/>
  <c r="O24"/>
  <c r="O131" i="16"/>
  <c r="K93" i="18"/>
  <c r="O65" i="5"/>
  <c r="N129" i="1"/>
  <c r="M51" i="9"/>
  <c r="L33" i="31"/>
  <c r="K84" i="33"/>
  <c r="M42" i="16"/>
  <c r="M28" i="3"/>
  <c r="O165" i="5"/>
  <c r="K92" i="23"/>
  <c r="O39" i="21"/>
  <c r="N167" i="32"/>
  <c r="O152" i="10"/>
  <c r="O4" i="32"/>
  <c r="O173" i="10"/>
  <c r="N26" i="24"/>
  <c r="N157" i="12"/>
  <c r="K159" i="9"/>
  <c r="O168" i="19"/>
  <c r="M30" i="31"/>
  <c r="K91" i="5"/>
  <c r="O137" i="10"/>
  <c r="K106" i="32"/>
  <c r="N61" i="33"/>
  <c r="O31" i="16"/>
  <c r="O150" i="15"/>
  <c r="L141" i="22"/>
  <c r="L163" i="25"/>
  <c r="M154" i="19"/>
  <c r="K161" i="4"/>
  <c r="N16" i="31"/>
  <c r="N158" i="26"/>
  <c r="K131" i="10"/>
  <c r="N66" i="25"/>
  <c r="M170" i="2"/>
  <c r="N82" i="1"/>
  <c r="O111" i="16"/>
  <c r="L167"/>
  <c r="N152" i="29"/>
  <c r="N60" i="17"/>
  <c r="M136" i="31"/>
  <c r="O126" i="3"/>
  <c r="K18" i="31"/>
  <c r="K128" i="4"/>
  <c r="N67" i="12"/>
  <c r="N68" i="17"/>
  <c r="N20" i="22"/>
  <c r="L39" i="27"/>
  <c r="L97" i="4"/>
  <c r="L161" i="9"/>
  <c r="N133" i="15"/>
  <c r="O68" i="23"/>
  <c r="O16" i="29"/>
  <c r="N25" i="22"/>
  <c r="K177" i="18"/>
  <c r="O157" i="23"/>
  <c r="O155" i="27"/>
  <c r="K150" i="5"/>
  <c r="M98" i="4"/>
  <c r="N128" i="31"/>
  <c r="K59" i="22"/>
  <c r="O129" i="25"/>
  <c r="L147" i="30"/>
  <c r="K172" i="17"/>
  <c r="M165" i="1"/>
  <c r="K158" i="3"/>
  <c r="M144" i="15"/>
  <c r="O118" i="23"/>
  <c r="O112" i="20"/>
  <c r="K96" i="15"/>
  <c r="M171" i="28"/>
  <c r="M183" i="9"/>
  <c r="M128" i="28"/>
  <c r="O173" i="23"/>
  <c r="M78" i="19"/>
  <c r="K65" i="4"/>
  <c r="N121" i="30"/>
  <c r="L6" i="3"/>
  <c r="O46" i="15"/>
  <c r="K183" i="3"/>
  <c r="L144" i="9"/>
  <c r="M155" i="25"/>
  <c r="M4" i="31"/>
  <c r="L171" i="29"/>
  <c r="L5" i="20"/>
  <c r="M151"/>
  <c r="M93" i="21"/>
  <c r="K93" i="9"/>
  <c r="N49" i="32"/>
  <c r="K157" i="24"/>
  <c r="M46" i="30"/>
  <c r="O184" i="29"/>
  <c r="O79" i="19"/>
  <c r="N101"/>
  <c r="K170" i="6"/>
  <c r="K169" i="28"/>
  <c r="M14" i="17"/>
  <c r="L31" i="29"/>
  <c r="M54" i="31"/>
  <c r="M180" i="3"/>
  <c r="N52" i="25"/>
  <c r="L75" i="23"/>
  <c r="O159" i="22"/>
  <c r="L160" i="16"/>
  <c r="O98" i="10"/>
  <c r="L149" i="20"/>
  <c r="O127" i="2"/>
  <c r="M129" i="10"/>
  <c r="M150" i="5"/>
  <c r="O167" i="30"/>
  <c r="M72"/>
  <c r="L162" i="22"/>
  <c r="N58" i="11"/>
  <c r="L168" i="20"/>
  <c r="K154" i="1"/>
  <c r="K120" i="23"/>
  <c r="M63" i="5"/>
  <c r="O13" i="17"/>
  <c r="K29" i="5"/>
  <c r="N148" i="10"/>
  <c r="L155" i="17"/>
  <c r="N69" i="22"/>
  <c r="M66" i="4"/>
  <c r="N3" i="28"/>
  <c r="K181" i="11"/>
  <c r="M10" i="29"/>
  <c r="K14" i="6"/>
  <c r="L56" i="3"/>
  <c r="N100" i="1"/>
  <c r="M173" i="20"/>
  <c r="N115" i="25"/>
  <c r="L151" i="22"/>
  <c r="L16" i="18"/>
  <c r="M35" i="30"/>
  <c r="L43" i="5"/>
  <c r="L14" i="22"/>
  <c r="N128" i="21"/>
  <c r="K44" i="19"/>
  <c r="M65" i="30"/>
  <c r="M177" i="5"/>
  <c r="M35" i="26"/>
  <c r="K170" i="33"/>
  <c r="N18" i="23"/>
  <c r="N95" i="5"/>
  <c r="L142" i="11"/>
  <c r="L84" i="10"/>
  <c r="M64" i="2"/>
  <c r="O168" i="23"/>
  <c r="K30" i="9"/>
  <c r="L131" i="3"/>
  <c r="K49" i="29"/>
  <c r="L116" i="1"/>
  <c r="K161" i="6"/>
  <c r="N123" i="9"/>
  <c r="N98" i="27"/>
  <c r="L177" i="19"/>
  <c r="M93" i="2"/>
  <c r="M130" i="28"/>
  <c r="M45" i="29"/>
  <c r="L85"/>
  <c r="N9" i="3"/>
  <c r="O165" i="32"/>
  <c r="L36" i="12"/>
  <c r="O37" i="6"/>
  <c r="K152" i="29"/>
  <c r="M95" i="21"/>
  <c r="O96" i="24"/>
  <c r="M111" i="22"/>
  <c r="N108" i="6"/>
  <c r="O40" i="19"/>
  <c r="K77" i="3"/>
  <c r="O168" i="22"/>
  <c r="M139" i="32"/>
  <c r="N141" i="31"/>
  <c r="L149" i="5"/>
  <c r="O65" i="2"/>
  <c r="O120" i="27"/>
  <c r="N108" i="12"/>
  <c r="L183" i="24"/>
  <c r="M81" i="9"/>
  <c r="N176" i="19"/>
  <c r="O44" i="33"/>
  <c r="M121" i="26"/>
  <c r="L129" i="25"/>
  <c r="M49" i="29"/>
  <c r="N34" i="2"/>
  <c r="O28" i="32"/>
  <c r="N64" i="11"/>
  <c r="K101" i="19"/>
  <c r="K23" i="3"/>
  <c r="O159" i="30"/>
  <c r="O21" i="24"/>
  <c r="K53" i="22"/>
  <c r="M135" i="20"/>
  <c r="M93" i="33"/>
  <c r="M65" i="21"/>
  <c r="N88" i="12"/>
  <c r="M176" i="11"/>
  <c r="N68" i="10"/>
  <c r="M157" i="30"/>
  <c r="O172" i="2"/>
  <c r="K40" i="16"/>
  <c r="M58" i="27"/>
  <c r="M136" i="10"/>
  <c r="K159" i="20"/>
  <c r="L82" i="1"/>
  <c r="N10" i="5"/>
  <c r="K135" i="19"/>
  <c r="O89" i="27"/>
  <c r="K111" i="18"/>
  <c r="L4" i="28"/>
  <c r="O176" i="32"/>
  <c r="N44" i="3"/>
  <c r="M158" i="19"/>
  <c r="N77" i="5"/>
  <c r="M94" i="21"/>
  <c r="K42" i="9"/>
  <c r="M64" i="25"/>
  <c r="N159" i="11"/>
  <c r="O140" i="9"/>
  <c r="L114" i="26"/>
  <c r="L151" i="16"/>
  <c r="N123" i="10"/>
  <c r="O86" i="5"/>
  <c r="M87" i="17"/>
  <c r="M116"/>
  <c r="M119" i="11"/>
  <c r="O94" i="30"/>
  <c r="M34" i="17"/>
  <c r="O158" i="11"/>
  <c r="L184" i="20"/>
  <c r="N185" i="5"/>
  <c r="O20" i="22"/>
  <c r="M16" i="3"/>
  <c r="K81" i="31"/>
  <c r="L173" i="2"/>
  <c r="N169" i="30"/>
  <c r="N33" i="24"/>
  <c r="M57" i="29"/>
  <c r="N63" i="12"/>
  <c r="M68" i="9"/>
  <c r="O176" i="27"/>
  <c r="N25" i="33"/>
  <c r="O158" i="6"/>
  <c r="L93" i="1"/>
  <c r="O153" i="10"/>
  <c r="L74" i="23"/>
  <c r="N77" i="3"/>
  <c r="M110"/>
  <c r="K117" i="16"/>
  <c r="M94" i="3"/>
  <c r="K154" i="2"/>
  <c r="O50" i="10"/>
  <c r="O107" i="23"/>
  <c r="N112" i="1"/>
  <c r="O87" i="28"/>
  <c r="N169" i="20"/>
  <c r="N36" i="12"/>
  <c r="K63" i="10"/>
  <c r="O149" i="2"/>
  <c r="K179" i="9"/>
  <c r="K163" i="27"/>
  <c r="M39" i="19"/>
  <c r="L80" i="22"/>
  <c r="M98" i="10"/>
  <c r="N128" i="3"/>
  <c r="L101" i="18"/>
  <c r="N122" i="23"/>
  <c r="L163" i="29"/>
  <c r="M151" i="1"/>
  <c r="K59" i="20"/>
  <c r="O157" i="1"/>
  <c r="L68" i="31"/>
  <c r="M134" i="33"/>
  <c r="N91" i="20"/>
  <c r="M95" i="5"/>
  <c r="O176" i="9"/>
  <c r="N94" i="2"/>
  <c r="N60" i="21"/>
  <c r="N15" i="33"/>
  <c r="L160" i="26"/>
  <c r="K146" i="30"/>
  <c r="L24" i="16"/>
  <c r="L96" i="10"/>
  <c r="N89"/>
  <c r="L123" i="26"/>
  <c r="M170" i="32"/>
  <c r="K136" i="30"/>
  <c r="O131" i="17"/>
  <c r="K82" i="1"/>
  <c r="K176" i="15"/>
  <c r="O142" i="23"/>
  <c r="M89" i="22"/>
  <c r="L20" i="23"/>
  <c r="M79" i="22"/>
  <c r="M142" i="15"/>
  <c r="O44" i="3"/>
  <c r="L100" i="1"/>
  <c r="K45" i="5"/>
  <c r="O10" i="22"/>
  <c r="L157" i="6"/>
  <c r="K123" i="1"/>
  <c r="N23" i="9"/>
  <c r="L25" i="15"/>
  <c r="M115" i="20"/>
  <c r="M185" i="4"/>
  <c r="L148" i="5"/>
  <c r="N86" i="22"/>
  <c r="O15" i="6"/>
  <c r="O37" i="2"/>
  <c r="O166" i="9"/>
  <c r="M126" i="19"/>
  <c r="K97" i="15"/>
  <c r="L140" i="29"/>
  <c r="K76" i="20"/>
  <c r="M109" i="16"/>
  <c r="O129" i="26"/>
  <c r="L155" i="32"/>
  <c r="K112" i="30"/>
  <c r="M33"/>
  <c r="M121" i="3"/>
  <c r="N88" i="6"/>
  <c r="K74" i="23"/>
  <c r="N89" i="1"/>
  <c r="M145" i="11"/>
  <c r="O80" i="9"/>
  <c r="L69" i="11"/>
  <c r="N184" i="9"/>
  <c r="K149" i="5"/>
  <c r="M171" i="10"/>
  <c r="N144" i="18"/>
  <c r="K142"/>
  <c r="N135" i="26"/>
  <c r="L38" i="9"/>
  <c r="O38" i="15"/>
  <c r="M93" i="6"/>
  <c r="K67" i="9"/>
  <c r="L98" i="27"/>
  <c r="M126" i="17"/>
  <c r="N142" i="9"/>
  <c r="N98" i="22"/>
  <c r="O23" i="23"/>
  <c r="N91" i="21"/>
  <c r="M153" i="27"/>
  <c r="K76" i="11"/>
  <c r="M160" i="31"/>
  <c r="L120" i="16"/>
  <c r="M80" i="17"/>
  <c r="O11" i="20"/>
  <c r="M172" i="23"/>
  <c r="M150" i="30"/>
  <c r="N179" i="19"/>
  <c r="N58" i="33"/>
  <c r="O178" i="32"/>
  <c r="N184" i="3"/>
  <c r="N106" i="28"/>
  <c r="N61" i="17"/>
  <c r="M96" i="6"/>
  <c r="L130" i="24"/>
  <c r="M101" i="15"/>
  <c r="O142" i="2"/>
  <c r="N174" i="30"/>
  <c r="K23" i="32"/>
  <c r="K95" i="17"/>
  <c r="L108" i="24"/>
  <c r="O79" i="32"/>
  <c r="K3" i="20"/>
  <c r="M91" i="32"/>
  <c r="O33" i="19"/>
  <c r="O26" i="16"/>
  <c r="L128" i="3"/>
  <c r="N154" i="17"/>
  <c r="O150" i="16"/>
  <c r="K146" i="32"/>
  <c r="L71" i="23"/>
  <c r="M96" i="1"/>
  <c r="K117" i="30"/>
  <c r="L43" i="31"/>
  <c r="M46" i="29"/>
  <c r="K171" i="25"/>
  <c r="O160" i="31"/>
  <c r="M26" i="26"/>
  <c r="N162" i="9"/>
  <c r="O33" i="3"/>
  <c r="N113" i="32"/>
  <c r="O23" i="30"/>
  <c r="L28" i="10"/>
  <c r="K50" i="18"/>
  <c r="N80" i="4"/>
  <c r="O5" i="5"/>
  <c r="N133" i="17"/>
  <c r="L6" i="30"/>
  <c r="M74" i="15"/>
  <c r="O183" i="24"/>
  <c r="L8" i="30"/>
  <c r="M174" i="3"/>
  <c r="N144" i="32"/>
  <c r="O56" i="10"/>
  <c r="L52" i="27"/>
  <c r="L102" i="23"/>
  <c r="K141" i="33"/>
  <c r="L36" i="20"/>
  <c r="O46" i="33"/>
  <c r="N139" i="3"/>
  <c r="O13" i="11"/>
  <c r="K181" i="29"/>
  <c r="K129" i="15"/>
  <c r="M16" i="30"/>
  <c r="O109" i="29"/>
  <c r="O58" i="19"/>
  <c r="K185" i="1"/>
  <c r="K46" i="9"/>
  <c r="N177" i="28"/>
  <c r="L161" i="15"/>
  <c r="O128" i="32"/>
  <c r="O86" i="23"/>
  <c r="N149" i="24"/>
  <c r="L14" i="9"/>
  <c r="L13" i="24"/>
  <c r="K13" i="23"/>
  <c r="L151" i="1"/>
  <c r="N56" i="17"/>
  <c r="O78" i="22"/>
  <c r="N23" i="16"/>
  <c r="N75" i="22"/>
  <c r="N140" i="9"/>
  <c r="K131" i="29"/>
  <c r="N24" i="21"/>
  <c r="L67" i="32"/>
  <c r="L61" i="11"/>
  <c r="N143" i="4"/>
  <c r="L171" i="9"/>
  <c r="N80" i="31"/>
  <c r="L20" i="27"/>
  <c r="L20" i="28"/>
  <c r="L23" i="27"/>
  <c r="M113" i="1"/>
  <c r="K136" i="17"/>
  <c r="N140" i="22"/>
  <c r="M155" i="31"/>
  <c r="L185" i="27"/>
  <c r="N88" i="10"/>
  <c r="M38" i="5"/>
  <c r="M86" i="20"/>
  <c r="L99" i="16"/>
  <c r="O6" i="31"/>
  <c r="K44" i="23"/>
  <c r="M134" i="9"/>
  <c r="K63" i="33"/>
  <c r="L160" i="30"/>
  <c r="M155" i="17"/>
  <c r="N59" i="28"/>
  <c r="K181" i="26"/>
  <c r="L172" i="10"/>
  <c r="M107" i="27"/>
  <c r="O75" i="19"/>
  <c r="L117" i="15"/>
  <c r="O106" i="18"/>
  <c r="M16" i="17"/>
  <c r="N170" i="6"/>
  <c r="K121" i="23"/>
  <c r="N102" i="26"/>
  <c r="O168" i="17"/>
  <c r="O125" i="10"/>
  <c r="L72" i="23"/>
  <c r="O109" i="9"/>
  <c r="L158" i="22"/>
  <c r="L69" i="4"/>
  <c r="L20" i="21"/>
  <c r="L119" i="32"/>
  <c r="K147" i="11"/>
  <c r="N64" i="12"/>
  <c r="L180" i="17"/>
  <c r="M150" i="1"/>
  <c r="N146" i="30"/>
  <c r="K171" i="11"/>
  <c r="K50" i="32"/>
  <c r="L162" i="23"/>
  <c r="O126" i="18"/>
  <c r="K38" i="17"/>
  <c r="O179" i="23"/>
  <c r="N21" i="21"/>
  <c r="M77" i="27"/>
  <c r="N179" i="10"/>
  <c r="M96" i="31"/>
  <c r="N163" i="30"/>
  <c r="M50"/>
  <c r="N73" i="33"/>
  <c r="O151" i="3"/>
  <c r="N127" i="6"/>
  <c r="O88" i="25"/>
  <c r="K159" i="27"/>
  <c r="K132" i="3"/>
  <c r="M40" i="32"/>
  <c r="M67" i="31"/>
  <c r="K150" i="4"/>
  <c r="L37" i="20"/>
  <c r="O108" i="33"/>
  <c r="L115" i="30"/>
  <c r="M52" i="23"/>
  <c r="O15" i="19"/>
  <c r="M108" i="22"/>
  <c r="L174" i="32"/>
  <c r="L183" i="2"/>
  <c r="M178" i="5"/>
  <c r="M152" i="33"/>
  <c r="K16" i="6"/>
  <c r="L182" i="32"/>
  <c r="M184" i="3"/>
  <c r="L108" i="23"/>
  <c r="O31" i="28"/>
  <c r="M106" i="11"/>
  <c r="K4" i="15"/>
  <c r="L87" i="31"/>
  <c r="M118" i="1"/>
  <c r="N177" i="18"/>
  <c r="K23" i="11"/>
  <c r="O160" i="1"/>
  <c r="M154" i="16"/>
  <c r="O119" i="15"/>
  <c r="O142" i="11"/>
  <c r="L38" i="16"/>
  <c r="O45" i="27"/>
  <c r="L133" i="10"/>
  <c r="M89" i="21"/>
  <c r="K117" i="29"/>
  <c r="N23" i="15"/>
  <c r="K180" i="23"/>
  <c r="M149" i="10"/>
  <c r="L63" i="16"/>
  <c r="N5" i="22"/>
  <c r="M139" i="12"/>
  <c r="M161" i="9"/>
  <c r="L43" i="28"/>
  <c r="O139" i="30"/>
  <c r="K151" i="6"/>
  <c r="O89" i="16"/>
  <c r="N64" i="30"/>
  <c r="M96" i="10"/>
  <c r="N86" i="31"/>
  <c r="M108" i="21"/>
  <c r="N102" i="23"/>
  <c r="K115" i="29"/>
  <c r="K57" i="17"/>
  <c r="N21" i="30"/>
  <c r="N74" i="32"/>
  <c r="M60" i="3"/>
  <c r="O147" i="19"/>
  <c r="M65" i="12"/>
  <c r="N133" i="30"/>
  <c r="O23" i="15"/>
  <c r="O89" i="17"/>
  <c r="O29" i="25"/>
  <c r="O72" i="26"/>
  <c r="L133" i="9"/>
  <c r="K80" i="6"/>
  <c r="O129" i="28"/>
  <c r="O153" i="3"/>
  <c r="O14" i="4"/>
  <c r="M169" i="3"/>
  <c r="M23" i="11"/>
  <c r="N102" i="32"/>
  <c r="N92" i="30"/>
  <c r="M5" i="19"/>
  <c r="N150" i="31"/>
  <c r="L132" i="20"/>
  <c r="O39" i="6"/>
  <c r="N81" i="24"/>
  <c r="L129" i="30"/>
  <c r="L134" i="22"/>
  <c r="O8" i="33"/>
  <c r="O79" i="6"/>
  <c r="N43" i="21"/>
  <c r="O37" i="29"/>
  <c r="N28" i="17"/>
  <c r="M118" i="22"/>
  <c r="K174" i="23"/>
  <c r="N168" i="28"/>
  <c r="L135" i="22"/>
  <c r="M45" i="19"/>
  <c r="K110" i="26"/>
  <c r="M176" i="17"/>
  <c r="O95" i="19"/>
  <c r="M146" i="16"/>
  <c r="M3" i="22"/>
  <c r="K78" i="11"/>
  <c r="O159" i="1"/>
  <c r="K100" i="16"/>
  <c r="O127" i="26"/>
  <c r="O165" i="27"/>
  <c r="N112" i="10"/>
  <c r="K16" i="30"/>
  <c r="O98" i="20"/>
  <c r="K176" i="21"/>
  <c r="L116" i="33"/>
  <c r="O6" i="20"/>
  <c r="L26" i="27"/>
  <c r="M16" i="23"/>
  <c r="O66" i="31"/>
  <c r="L10" i="9"/>
  <c r="K69" i="30"/>
  <c r="M134" i="25"/>
  <c r="N45" i="5"/>
  <c r="K126" i="21"/>
  <c r="K86" i="10"/>
  <c r="O46" i="5"/>
  <c r="O25" i="4"/>
  <c r="M122" i="15"/>
  <c r="N118" i="12"/>
  <c r="N94" i="16"/>
  <c r="N44" i="27"/>
  <c r="L75" i="4"/>
  <c r="M165" i="12"/>
  <c r="O73" i="3"/>
  <c r="M137" i="31"/>
  <c r="O96" i="15"/>
  <c r="N87" i="25"/>
  <c r="O29" i="15"/>
  <c r="N157" i="19"/>
  <c r="L24" i="23"/>
  <c r="L76" i="21"/>
  <c r="L79" i="24"/>
  <c r="N96" i="23"/>
  <c r="K52" i="1"/>
  <c r="K93" i="10"/>
  <c r="M10" i="31"/>
  <c r="N82" i="18"/>
  <c r="N132" i="15"/>
  <c r="N91" i="33"/>
  <c r="K11" i="2"/>
  <c r="L145" i="22"/>
  <c r="M168" i="27"/>
  <c r="O126" i="30"/>
  <c r="K33" i="11"/>
  <c r="O8" i="31"/>
  <c r="N82"/>
  <c r="O128" i="12"/>
  <c r="N65" i="3"/>
  <c r="N33" i="12"/>
  <c r="L162" i="6"/>
  <c r="M134" i="2"/>
  <c r="K157" i="3"/>
  <c r="K28" i="24"/>
  <c r="K112" i="25"/>
  <c r="M9" i="16"/>
  <c r="L146" i="32"/>
  <c r="N144" i="3"/>
  <c r="O91"/>
  <c r="N47" i="17"/>
  <c r="N102" i="9"/>
  <c r="O16" i="17"/>
  <c r="K114" i="9"/>
  <c r="K151" i="19"/>
  <c r="L91" i="29"/>
  <c r="N44" i="2"/>
  <c r="L80" i="23"/>
  <c r="L181" i="30"/>
  <c r="L77" i="23"/>
  <c r="O129" i="22"/>
  <c r="K170" i="16"/>
  <c r="K18" i="24"/>
  <c r="O163" i="16"/>
  <c r="O30" i="32"/>
  <c r="L142" i="5"/>
  <c r="M142" i="32"/>
  <c r="M88" i="29"/>
  <c r="O74" i="30"/>
  <c r="K26" i="17"/>
  <c r="K102" i="31"/>
  <c r="N143" i="17"/>
  <c r="L76" i="24"/>
  <c r="O76" i="15"/>
  <c r="M102" i="18"/>
  <c r="M47" i="29"/>
  <c r="K63" i="6"/>
  <c r="O15" i="4"/>
  <c r="L161" i="19"/>
  <c r="K69" i="3"/>
  <c r="N120" i="31"/>
  <c r="M54" i="33"/>
  <c r="O92" i="5"/>
  <c r="N82" i="6"/>
  <c r="M28" i="31"/>
  <c r="M10" i="2"/>
  <c r="N28" i="23"/>
  <c r="O88" i="31"/>
  <c r="K44" i="17"/>
  <c r="M6" i="18"/>
  <c r="O76" i="21"/>
  <c r="N28" i="9"/>
  <c r="M184" i="16"/>
  <c r="M167" i="6"/>
  <c r="K51" i="22"/>
  <c r="N141" i="19"/>
  <c r="K179" i="4"/>
  <c r="O52" i="31"/>
  <c r="N180" i="24"/>
  <c r="N160" i="19"/>
  <c r="K89" i="3"/>
  <c r="N31" i="10"/>
  <c r="L25" i="27"/>
  <c r="N131" i="21"/>
  <c r="N165" i="6"/>
  <c r="M34" i="24"/>
  <c r="L76" i="18"/>
  <c r="K107" i="9"/>
  <c r="L140" i="11"/>
  <c r="K111" i="20"/>
  <c r="K35" i="5"/>
  <c r="M50" i="1"/>
  <c r="N43" i="17"/>
  <c r="K179" i="5"/>
  <c r="L50" i="3"/>
  <c r="M95" i="17"/>
  <c r="N102" i="22"/>
  <c r="N162" i="17"/>
  <c r="M29" i="21"/>
  <c r="M46" i="3"/>
  <c r="K161" i="27"/>
  <c r="K47" i="22"/>
  <c r="L44" i="20"/>
  <c r="M72" i="3"/>
  <c r="O174" i="26"/>
  <c r="N178" i="3"/>
  <c r="N180" i="25"/>
  <c r="N169" i="5"/>
  <c r="K115" i="22"/>
  <c r="O37" i="9"/>
  <c r="K40" i="24"/>
  <c r="O43" i="30"/>
  <c r="O184" i="22"/>
  <c r="M135" i="33"/>
  <c r="N39" i="16"/>
  <c r="K56" i="22"/>
  <c r="L40"/>
  <c r="O101"/>
  <c r="O75" i="10"/>
  <c r="M144" i="16"/>
  <c r="O174" i="20"/>
  <c r="N51" i="6"/>
  <c r="K127" i="19"/>
  <c r="N99" i="3"/>
  <c r="O154" i="12"/>
  <c r="L159" i="26"/>
  <c r="N42" i="3"/>
  <c r="L149" i="24"/>
  <c r="N75" i="23"/>
  <c r="L67" i="17"/>
  <c r="L184" i="16"/>
  <c r="M8" i="20"/>
  <c r="O185" i="21"/>
  <c r="O160" i="5"/>
  <c r="L176" i="32"/>
  <c r="K44" i="22"/>
  <c r="K15" i="5"/>
  <c r="K172" i="12"/>
  <c r="K148" i="1"/>
  <c r="N92" i="22"/>
  <c r="L49" i="15"/>
  <c r="K108" i="31"/>
  <c r="L18"/>
  <c r="M166" i="30"/>
  <c r="M50" i="24"/>
  <c r="K59" i="9"/>
  <c r="L84" i="3"/>
  <c r="K133" i="25"/>
  <c r="M85" i="22"/>
  <c r="O20" i="20"/>
  <c r="N93" i="5"/>
  <c r="L77" i="33"/>
  <c r="M76" i="16"/>
  <c r="M173" i="32"/>
  <c r="L50" i="11"/>
  <c r="L173" i="9"/>
  <c r="O80" i="31"/>
  <c r="O169" i="22"/>
  <c r="K163" i="2"/>
  <c r="O148" i="4"/>
  <c r="O10" i="30"/>
  <c r="K91" i="3"/>
  <c r="N126" i="23"/>
  <c r="O49" i="22"/>
  <c r="K96" i="20"/>
  <c r="L140" i="23"/>
  <c r="L69" i="24"/>
  <c r="O19" i="5"/>
  <c r="N140" i="28"/>
  <c r="O170" i="11"/>
  <c r="O46" i="31"/>
  <c r="N53" i="6"/>
  <c r="M31" i="15"/>
  <c r="O132" i="25"/>
  <c r="K111" i="19"/>
  <c r="O100" i="21"/>
  <c r="O106" i="25"/>
  <c r="O80" i="22"/>
  <c r="L81" i="2"/>
  <c r="N65" i="23"/>
  <c r="O182" i="5"/>
  <c r="O85" i="10"/>
  <c r="M149" i="3"/>
  <c r="K162" i="11"/>
  <c r="L129" i="26"/>
  <c r="M183" i="6"/>
  <c r="M64" i="5"/>
  <c r="L125"/>
  <c r="O97" i="22"/>
  <c r="L108" i="15"/>
  <c r="M147" i="22"/>
  <c r="L132" i="26"/>
  <c r="N180" i="1"/>
  <c r="L155" i="5"/>
  <c r="O10" i="18"/>
  <c r="O133" i="19"/>
  <c r="K73" i="33"/>
  <c r="N127" i="2"/>
  <c r="K144" i="5"/>
  <c r="M60" i="32"/>
  <c r="L125" i="2"/>
  <c r="N101" i="18"/>
  <c r="L57" i="15"/>
  <c r="M163" i="32"/>
  <c r="O94" i="29"/>
  <c r="L5" i="5"/>
  <c r="O179" i="6"/>
  <c r="O13"/>
  <c r="K26" i="3"/>
  <c r="K88" i="18"/>
  <c r="L81" i="21"/>
  <c r="N182" i="23"/>
  <c r="K47" i="19"/>
  <c r="M47" i="33"/>
  <c r="O65" i="1"/>
  <c r="K162" i="9"/>
  <c r="L50" i="6"/>
  <c r="K43" i="19"/>
  <c r="L178" i="4"/>
  <c r="L42" i="25"/>
  <c r="L173" i="19"/>
  <c r="O100" i="24"/>
  <c r="O29" i="2"/>
  <c r="K139" i="33"/>
  <c r="N43" i="12"/>
  <c r="L163" i="20"/>
  <c r="L74" i="30"/>
  <c r="M177" i="23"/>
  <c r="M82" i="4"/>
  <c r="K101" i="29"/>
  <c r="O97" i="1"/>
  <c r="L107" i="27"/>
  <c r="O14" i="30"/>
  <c r="K15" i="32"/>
  <c r="K120" i="6"/>
  <c r="O60" i="2"/>
  <c r="L89" i="29"/>
  <c r="M178" i="26"/>
  <c r="K73" i="12"/>
  <c r="O34" i="3"/>
  <c r="O143" i="9"/>
  <c r="L176" i="4"/>
  <c r="L52" i="6"/>
  <c r="K52" i="21"/>
  <c r="K33" i="16"/>
  <c r="N39" i="12"/>
  <c r="M171" i="15"/>
  <c r="O111" i="5"/>
  <c r="N101" i="1"/>
  <c r="N10" i="23"/>
  <c r="K54" i="31"/>
  <c r="O148" i="9"/>
  <c r="L111" i="19"/>
  <c r="O139" i="5"/>
  <c r="M59" i="10"/>
  <c r="L95" i="25"/>
  <c r="N140" i="4"/>
  <c r="M24" i="25"/>
  <c r="L101" i="20"/>
  <c r="K171" i="30"/>
  <c r="K184" i="3"/>
  <c r="O150" i="11"/>
  <c r="L99" i="1"/>
  <c r="K19" i="25"/>
  <c r="M153" i="9"/>
  <c r="L153"/>
  <c r="O61" i="23"/>
  <c r="N153" i="9"/>
  <c r="L3" i="20"/>
  <c r="N46" i="11"/>
  <c r="K162" i="17"/>
  <c r="L100" i="27"/>
  <c r="O170"/>
  <c r="M123" i="31"/>
  <c r="K100" i="27"/>
  <c r="L146"/>
  <c r="N91" i="28"/>
  <c r="L74" i="3"/>
  <c r="O49" i="2"/>
  <c r="M185" i="16"/>
  <c r="K6" i="27"/>
  <c r="L85" i="4"/>
  <c r="M20" i="17"/>
  <c r="M98" i="21"/>
  <c r="K69" i="12"/>
  <c r="O16" i="5"/>
  <c r="O123" i="1"/>
  <c r="O78"/>
  <c r="L149" i="22"/>
  <c r="M43" i="31"/>
  <c r="M166" i="33"/>
  <c r="O89" i="31"/>
  <c r="N63" i="27"/>
  <c r="K8" i="22"/>
  <c r="K73" i="3"/>
  <c r="L66" i="15"/>
  <c r="M147" i="19"/>
  <c r="L172" i="3"/>
  <c r="M180" i="16"/>
  <c r="M125" i="6"/>
  <c r="N34" i="32"/>
  <c r="L157" i="20"/>
  <c r="K97" i="28"/>
  <c r="L14" i="17"/>
  <c r="M31" i="18"/>
  <c r="K169" i="3"/>
  <c r="N173" i="5"/>
  <c r="M99" i="17"/>
  <c r="N99" i="16"/>
  <c r="L160" i="1"/>
  <c r="M136" i="9"/>
  <c r="M143" i="3"/>
  <c r="M24" i="17"/>
  <c r="N129" i="32"/>
  <c r="N168" i="31"/>
  <c r="L113" i="10"/>
  <c r="K84" i="3"/>
  <c r="M74" i="31"/>
  <c r="N74" i="25"/>
  <c r="K150" i="27"/>
  <c r="N88" i="23"/>
  <c r="N111" i="11"/>
  <c r="K184" i="31"/>
  <c r="L150" i="1"/>
  <c r="O117" i="10"/>
  <c r="K178" i="33"/>
  <c r="K65" i="3"/>
  <c r="K16" i="20"/>
  <c r="M71" i="18"/>
  <c r="O61" i="1"/>
  <c r="L95" i="33"/>
  <c r="M69" i="9"/>
  <c r="N54" i="24"/>
  <c r="O19" i="22"/>
  <c r="M153" i="31"/>
  <c r="O91" i="1"/>
  <c r="L39" i="29"/>
  <c r="M176" i="4"/>
  <c r="O34" i="11"/>
  <c r="L129" i="27"/>
  <c r="L45" i="28"/>
  <c r="N137" i="33"/>
  <c r="L76" i="20"/>
  <c r="M98" i="32"/>
  <c r="N160" i="31"/>
  <c r="O72" i="3"/>
  <c r="N135" i="31"/>
  <c r="N177" i="5"/>
  <c r="O165" i="10"/>
  <c r="O122" i="23"/>
  <c r="L28" i="15"/>
  <c r="K42"/>
  <c r="L147"/>
  <c r="K43" i="28"/>
  <c r="K122" i="27"/>
  <c r="O64" i="30"/>
  <c r="M39" i="20"/>
  <c r="K181" i="18"/>
  <c r="K177" i="1"/>
  <c r="K61" i="27"/>
  <c r="M40" i="31"/>
  <c r="L108" i="25"/>
  <c r="O8" i="17"/>
  <c r="M97" i="5"/>
  <c r="K11" i="29"/>
  <c r="K133" i="6"/>
  <c r="O59" i="33"/>
  <c r="O171" i="12"/>
  <c r="O37" i="17"/>
  <c r="L127" i="19"/>
  <c r="L71" i="28"/>
  <c r="O26" i="11"/>
  <c r="M127" i="1"/>
  <c r="M73" i="16"/>
  <c r="O54" i="31"/>
  <c r="K118" i="15"/>
  <c r="M31" i="28"/>
  <c r="N155" i="32"/>
  <c r="L183" i="15"/>
  <c r="L141" i="1"/>
  <c r="L47" i="31"/>
  <c r="N180" i="21"/>
  <c r="L176" i="1"/>
  <c r="K51" i="24"/>
  <c r="M93" i="30"/>
  <c r="M46" i="31"/>
  <c r="M95" i="30"/>
  <c r="M34" i="10"/>
  <c r="O98" i="32"/>
  <c r="L29" i="6"/>
  <c r="N122" i="20"/>
  <c r="L46" i="32"/>
  <c r="O159" i="25"/>
  <c r="N54" i="30"/>
  <c r="O177" i="28"/>
  <c r="M174" i="18"/>
  <c r="O153" i="27"/>
  <c r="K71" i="25"/>
  <c r="M171" i="27"/>
  <c r="O79" i="4"/>
  <c r="O84" i="10"/>
  <c r="M71" i="6"/>
  <c r="O95" i="1"/>
  <c r="M122" i="12"/>
  <c r="N23" i="32"/>
  <c r="L20" i="15"/>
  <c r="L9" i="32"/>
  <c r="O24" i="23"/>
  <c r="L174" i="25"/>
  <c r="M14" i="22"/>
  <c r="K99" i="24"/>
  <c r="L125" i="16"/>
  <c r="M111" i="18"/>
  <c r="L85" i="32"/>
  <c r="L37" i="27"/>
  <c r="M132" i="32"/>
  <c r="N76" i="24"/>
  <c r="K53" i="17"/>
  <c r="M93" i="28"/>
  <c r="L136" i="5"/>
  <c r="M5" i="9"/>
  <c r="K161" i="32"/>
  <c r="L185" i="16"/>
  <c r="N136" i="3"/>
  <c r="O16"/>
  <c r="O171" i="1"/>
  <c r="N128" i="32"/>
  <c r="N133" i="31"/>
  <c r="O36" i="32"/>
  <c r="O165" i="31"/>
  <c r="N159" i="18"/>
  <c r="K121" i="31"/>
  <c r="K8" i="5"/>
  <c r="O77" i="12"/>
  <c r="O23" i="31"/>
  <c r="K80" i="5"/>
  <c r="L11" i="3"/>
  <c r="M34" i="9"/>
  <c r="N153" i="19"/>
  <c r="M30" i="10"/>
  <c r="K53" i="6"/>
  <c r="L139" i="4"/>
  <c r="N101" i="33"/>
  <c r="N169"/>
  <c r="O182" i="29"/>
  <c r="O78" i="9"/>
  <c r="M131" i="12"/>
  <c r="O94" i="17"/>
  <c r="L72" i="3"/>
  <c r="N155" i="4"/>
  <c r="N40" i="9"/>
  <c r="L184" i="30"/>
  <c r="M5" i="1"/>
  <c r="N106" i="21"/>
  <c r="L73" i="30"/>
  <c r="O110" i="9"/>
  <c r="K99" i="11"/>
  <c r="N182" i="15"/>
  <c r="M116" i="6"/>
  <c r="O92" i="33"/>
  <c r="N74" i="17"/>
  <c r="L161" i="16"/>
  <c r="M111" i="31"/>
  <c r="O66" i="30"/>
  <c r="L9"/>
  <c r="N28" i="1"/>
  <c r="K122" i="22"/>
  <c r="L26" i="3"/>
  <c r="N16" i="1"/>
  <c r="K111" i="26"/>
  <c r="L117" i="28"/>
  <c r="M93" i="32"/>
  <c r="N99" i="26"/>
  <c r="O114" i="31"/>
  <c r="L185" i="17"/>
  <c r="L82"/>
  <c r="M73" i="5"/>
  <c r="O35" i="20"/>
  <c r="L158" i="15"/>
  <c r="L25" i="25"/>
  <c r="O35" i="24"/>
  <c r="M74" i="12"/>
  <c r="K19" i="19"/>
  <c r="N102" i="20"/>
  <c r="N165" i="9"/>
  <c r="K37" i="33"/>
  <c r="L95" i="28"/>
  <c r="K126" i="11"/>
  <c r="N106" i="17"/>
  <c r="K120" i="27"/>
  <c r="M127" i="23"/>
  <c r="N11" i="30"/>
  <c r="L91" i="5"/>
  <c r="M23" i="17"/>
  <c r="M160"/>
  <c r="K180" i="9"/>
  <c r="M37" i="2"/>
  <c r="L80" i="4"/>
  <c r="M61" i="29"/>
  <c r="M21" i="23"/>
  <c r="L118" i="22"/>
  <c r="K177" i="29"/>
  <c r="K182" i="18"/>
  <c r="K151" i="9"/>
  <c r="L36" i="27"/>
  <c r="M162" i="26"/>
  <c r="N100" i="23"/>
  <c r="N74" i="6"/>
  <c r="O118" i="5"/>
  <c r="L21" i="22"/>
  <c r="O31" i="1"/>
  <c r="L96" i="28"/>
  <c r="M130" i="16"/>
  <c r="N18" i="30"/>
  <c r="N185" i="21"/>
  <c r="N174" i="23"/>
  <c r="K5" i="5"/>
  <c r="L183" i="32"/>
  <c r="L140" i="27"/>
  <c r="L50" i="1"/>
  <c r="M119" i="27"/>
  <c r="O144" i="17"/>
  <c r="O96" i="16"/>
  <c r="M173"/>
  <c r="N139" i="27"/>
  <c r="L84" i="22"/>
  <c r="O152" i="23"/>
  <c r="M42" i="20"/>
  <c r="K166" i="23"/>
  <c r="L68" i="10"/>
  <c r="M36" i="5"/>
  <c r="N97" i="26"/>
  <c r="K173" i="12"/>
  <c r="O21" i="32"/>
  <c r="L158" i="31"/>
  <c r="N147" i="9"/>
  <c r="M74"/>
  <c r="N11" i="25"/>
  <c r="O133" i="6"/>
  <c r="L71" i="4"/>
  <c r="L25" i="30"/>
  <c r="O158" i="22"/>
  <c r="L143"/>
  <c r="O148" i="6"/>
  <c r="L59" i="19"/>
  <c r="K44" i="16"/>
  <c r="N112" i="15"/>
  <c r="L98" i="26"/>
  <c r="K39" i="15"/>
  <c r="K71" i="29"/>
  <c r="O178" i="20"/>
  <c r="K111" i="24"/>
  <c r="M149" i="1"/>
  <c r="M37" i="5"/>
  <c r="M39" i="26"/>
  <c r="O125" i="16"/>
  <c r="O153"/>
  <c r="K49" i="12"/>
  <c r="M108" i="5"/>
  <c r="M72" i="1"/>
  <c r="M159" i="25"/>
  <c r="O31" i="11"/>
  <c r="K169" i="9"/>
  <c r="M20" i="25"/>
  <c r="M98" i="6"/>
  <c r="K64" i="5"/>
  <c r="K9" i="32"/>
  <c r="N71" i="29"/>
  <c r="K166" i="22"/>
  <c r="N115" i="29"/>
  <c r="M127" i="16"/>
  <c r="N72" i="25"/>
  <c r="O87" i="30"/>
  <c r="K36" i="29"/>
  <c r="M142" i="17"/>
  <c r="N180" i="4"/>
  <c r="O8" i="23"/>
  <c r="N145" i="19"/>
  <c r="K122" i="17"/>
  <c r="O185" i="28"/>
  <c r="M116" i="16"/>
  <c r="L173"/>
  <c r="M69" i="6"/>
  <c r="O82" i="19"/>
  <c r="K179" i="21"/>
  <c r="N125" i="22"/>
  <c r="K23" i="23"/>
  <c r="O91"/>
  <c r="O173" i="6"/>
  <c r="L37" i="4"/>
  <c r="K98" i="12"/>
  <c r="L51" i="11"/>
  <c r="O109" i="2"/>
  <c r="N147" i="30"/>
  <c r="L168" i="32"/>
  <c r="N50" i="2"/>
  <c r="N163" i="31"/>
  <c r="K24" i="11"/>
  <c r="O174" i="3"/>
  <c r="M85" i="24"/>
  <c r="L63" i="20"/>
  <c r="O111" i="12"/>
  <c r="L183" i="28"/>
  <c r="O93" i="16"/>
  <c r="O153" i="31"/>
  <c r="M126" i="21"/>
  <c r="N136" i="28"/>
  <c r="O118" i="29"/>
  <c r="M65" i="27"/>
  <c r="M111" i="10"/>
  <c r="N135" i="9"/>
  <c r="N81" i="29"/>
  <c r="O71" i="19"/>
  <c r="N58" i="29"/>
  <c r="K96" i="22"/>
  <c r="M167" i="28"/>
  <c r="L92" i="4"/>
  <c r="L77"/>
  <c r="N54" i="22"/>
  <c r="L28" i="6"/>
  <c r="K117" i="17"/>
  <c r="M65" i="32"/>
  <c r="L145" i="33"/>
  <c r="N21" i="22"/>
  <c r="L66" i="33"/>
  <c r="L177" i="11"/>
  <c r="L159" i="25"/>
  <c r="K9" i="21"/>
  <c r="O139" i="23"/>
  <c r="N72" i="2"/>
  <c r="O94" i="28"/>
  <c r="L37" i="5"/>
  <c r="M172" i="25"/>
  <c r="M100" i="6"/>
  <c r="K176" i="27"/>
  <c r="K94" i="30"/>
  <c r="L172" i="33"/>
  <c r="M51" i="23"/>
  <c r="N14" i="3"/>
  <c r="K8" i="27"/>
  <c r="K9" i="9"/>
  <c r="O37" i="21"/>
  <c r="L11" i="20"/>
  <c r="K141" i="4"/>
  <c r="K114" i="30"/>
  <c r="L53" i="10"/>
  <c r="K177" i="33"/>
  <c r="K144" i="11"/>
  <c r="L81" i="22"/>
  <c r="M174" i="21"/>
  <c r="M162" i="6"/>
  <c r="L169" i="28"/>
  <c r="M155" i="12"/>
  <c r="M117" i="28"/>
  <c r="M134" i="17"/>
  <c r="N143" i="16"/>
  <c r="N93" i="10"/>
  <c r="M58" i="23"/>
  <c r="M161" i="1"/>
  <c r="L57" i="5"/>
  <c r="K100" i="10"/>
  <c r="O33" i="15"/>
  <c r="L152" i="25"/>
  <c r="K39" i="30"/>
  <c r="O146" i="3"/>
  <c r="M125" i="21"/>
  <c r="M118" i="10"/>
  <c r="L37" i="11"/>
  <c r="O177" i="2"/>
  <c r="K136" i="33"/>
  <c r="K98" i="10"/>
  <c r="K25" i="26"/>
  <c r="M47" i="24"/>
  <c r="L25" i="18"/>
  <c r="N59" i="11"/>
  <c r="O163" i="23"/>
  <c r="M84" i="12"/>
  <c r="L77" i="1"/>
  <c r="O149" i="23"/>
  <c r="O68" i="20"/>
  <c r="L60" i="29"/>
  <c r="O168" i="16"/>
  <c r="L74" i="2"/>
  <c r="M121" i="20"/>
  <c r="N144"/>
  <c r="N80" i="9"/>
  <c r="K113" i="16"/>
  <c r="L125" i="10"/>
  <c r="L86" i="11"/>
  <c r="L73" i="26"/>
  <c r="L171"/>
  <c r="O100" i="33"/>
  <c r="K82" i="25"/>
  <c r="M174" i="4"/>
  <c r="K88" i="21"/>
  <c r="K52" i="28"/>
  <c r="O143" i="29"/>
  <c r="K21" i="2"/>
  <c r="N39" i="26"/>
  <c r="M169" i="1"/>
  <c r="O127" i="21"/>
  <c r="M177" i="32"/>
  <c r="L6" i="15"/>
  <c r="O56" i="24"/>
  <c r="M130" i="27"/>
  <c r="O94"/>
  <c r="M98" i="16"/>
  <c r="O97" i="20"/>
  <c r="K35" i="3"/>
  <c r="K29" i="20"/>
  <c r="K162"/>
  <c r="M31" i="1"/>
  <c r="N23" i="2"/>
  <c r="O57" i="4"/>
  <c r="O61" i="3"/>
  <c r="M44" i="33"/>
  <c r="O109" i="25"/>
  <c r="L143" i="16"/>
  <c r="K13" i="3"/>
  <c r="N150" i="11"/>
  <c r="L172" i="22"/>
  <c r="N152" i="16"/>
  <c r="K61" i="18"/>
  <c r="L20" i="16"/>
  <c r="K74" i="30"/>
  <c r="L160" i="5"/>
  <c r="K36" i="28"/>
  <c r="L182" i="6"/>
  <c r="L35" i="12"/>
  <c r="K28" i="25"/>
  <c r="M183" i="2"/>
  <c r="N117" i="24"/>
  <c r="L146" i="3"/>
  <c r="L9" i="4"/>
  <c r="O31" i="6"/>
  <c r="L82"/>
  <c r="M13" i="31"/>
  <c r="M58" i="16"/>
  <c r="N120" i="26"/>
  <c r="L166" i="4"/>
  <c r="K148" i="18"/>
  <c r="K155" i="29"/>
  <c r="N45" i="11"/>
  <c r="O137" i="28"/>
  <c r="O111" i="10"/>
  <c r="N166"/>
  <c r="K3" i="33"/>
  <c r="M52" i="2"/>
  <c r="L170" i="12"/>
  <c r="L4" i="26"/>
  <c r="K123" i="15"/>
  <c r="O35" i="30"/>
  <c r="K118" i="19"/>
  <c r="M60" i="17"/>
  <c r="N126" i="12"/>
  <c r="L3" i="18"/>
  <c r="M16" i="10"/>
  <c r="L91" i="31"/>
  <c r="M73" i="21"/>
  <c r="K67" i="19"/>
  <c r="N143" i="18"/>
  <c r="K52" i="24"/>
  <c r="L79" i="5"/>
  <c r="K163" i="28"/>
  <c r="L169" i="9"/>
  <c r="L93" i="6"/>
  <c r="O122" i="18"/>
  <c r="K108" i="21"/>
  <c r="O163" i="17"/>
  <c r="M28" i="5"/>
  <c r="K92"/>
  <c r="L20" i="1"/>
  <c r="O134" i="5"/>
  <c r="N163" i="3"/>
  <c r="K61" i="31"/>
  <c r="N38" i="12"/>
  <c r="K106" i="9"/>
  <c r="K11" i="5"/>
  <c r="M65" i="28"/>
  <c r="M181" i="29"/>
  <c r="O58" i="30"/>
  <c r="N54" i="2"/>
  <c r="L139" i="10"/>
  <c r="N52" i="31"/>
  <c r="N39" i="5"/>
  <c r="L151" i="17"/>
  <c r="N152" i="23"/>
  <c r="N37" i="17"/>
  <c r="M127" i="29"/>
  <c r="L19" i="26"/>
  <c r="O72" i="27"/>
  <c r="N172" i="20"/>
  <c r="O16"/>
  <c r="N75" i="10"/>
  <c r="L6" i="18"/>
  <c r="L157" i="23"/>
  <c r="K125"/>
  <c r="O24" i="12"/>
  <c r="K40" i="25"/>
  <c r="L87" i="30"/>
  <c r="M174" i="10"/>
  <c r="M167" i="23"/>
  <c r="M133" i="24"/>
  <c r="K172" i="2"/>
  <c r="M134" i="27"/>
  <c r="O149" i="17"/>
  <c r="N54" i="1"/>
  <c r="O108" i="10"/>
  <c r="L113" i="27"/>
  <c r="L72" i="29"/>
  <c r="O73" i="24"/>
  <c r="L134" i="31"/>
  <c r="N89" i="24"/>
  <c r="K67" i="10"/>
  <c r="K108" i="15"/>
  <c r="O117" i="30"/>
  <c r="N127" i="32"/>
  <c r="K79" i="10"/>
  <c r="K178" i="18"/>
  <c r="N84" i="16"/>
  <c r="N135" i="27"/>
  <c r="K92" i="26"/>
  <c r="N130" i="21"/>
  <c r="N116" i="31"/>
  <c r="M68" i="4"/>
  <c r="O150" i="20"/>
  <c r="M167" i="27"/>
  <c r="L60" i="23"/>
  <c r="M36" i="32"/>
  <c r="N5" i="16"/>
  <c r="K147" i="5"/>
  <c r="M91" i="11"/>
  <c r="K75" i="16"/>
  <c r="O58" i="3"/>
  <c r="N13" i="6"/>
  <c r="K169" i="15"/>
  <c r="L160" i="28"/>
  <c r="M95" i="22"/>
  <c r="O69" i="16"/>
  <c r="L61" i="17"/>
  <c r="N37" i="18"/>
  <c r="K139" i="26"/>
  <c r="N5" i="24"/>
  <c r="L24" i="27"/>
  <c r="M45" i="31"/>
  <c r="K16" i="11"/>
  <c r="K130" i="15"/>
  <c r="N78" i="31"/>
  <c r="N78" i="16"/>
  <c r="O100"/>
  <c r="L50" i="22"/>
  <c r="O75" i="27"/>
  <c r="N34" i="4"/>
  <c r="N8" i="27"/>
  <c r="L152" i="30"/>
  <c r="N6" i="15"/>
  <c r="L94" i="18"/>
  <c r="M131" i="6"/>
  <c r="L135" i="30"/>
  <c r="O127" i="25"/>
  <c r="M132" i="27"/>
  <c r="M6" i="11"/>
  <c r="K82" i="12"/>
  <c r="N50" i="29"/>
  <c r="M51" i="16"/>
  <c r="O93" i="30"/>
  <c r="O35" i="11"/>
  <c r="N72" i="24"/>
  <c r="K128" i="5"/>
  <c r="O166" i="3"/>
  <c r="K178" i="19"/>
  <c r="N131" i="10"/>
  <c r="N34" i="23"/>
  <c r="K113" i="3"/>
  <c r="O117" i="2"/>
  <c r="L110" i="18"/>
  <c r="M120" i="3"/>
  <c r="N107" i="16"/>
  <c r="M69" i="32"/>
  <c r="L153" i="10"/>
  <c r="M152" i="23"/>
  <c r="M31" i="24"/>
  <c r="N169" i="1"/>
  <c r="N154" i="33"/>
  <c r="M184" i="27"/>
  <c r="L8" i="32"/>
  <c r="O79" i="25"/>
  <c r="K143" i="19"/>
  <c r="L81" i="32"/>
  <c r="M162" i="27"/>
  <c r="N133" i="9"/>
  <c r="L49" i="11"/>
  <c r="L170"/>
  <c r="N125" i="5"/>
  <c r="M169" i="27"/>
  <c r="N112" i="25"/>
  <c r="K74" i="3"/>
  <c r="M60" i="22"/>
  <c r="O151" i="26"/>
  <c r="O29" i="11"/>
  <c r="O115" i="29"/>
  <c r="N177" i="31"/>
  <c r="L74" i="28"/>
  <c r="K135" i="15"/>
  <c r="M21" i="31"/>
  <c r="M54" i="18"/>
  <c r="N94" i="32"/>
  <c r="K100" i="9"/>
  <c r="L94" i="10"/>
  <c r="M153" i="1"/>
  <c r="L94" i="26"/>
  <c r="M180" i="24"/>
  <c r="L54" i="15"/>
  <c r="K88" i="3"/>
  <c r="M151" i="29"/>
  <c r="M161" i="28"/>
  <c r="O40" i="23"/>
  <c r="N130" i="16"/>
  <c r="O139" i="17"/>
  <c r="N79" i="15"/>
  <c r="M89" i="11"/>
  <c r="N57" i="17"/>
  <c r="N91" i="16"/>
  <c r="L159" i="32"/>
  <c r="N44" i="31"/>
  <c r="K152" i="10"/>
  <c r="N116" i="15"/>
  <c r="O31" i="26"/>
  <c r="K183" i="1"/>
  <c r="L121" i="31"/>
  <c r="M13" i="21"/>
  <c r="N46" i="29"/>
  <c r="N68" i="3"/>
  <c r="L154" i="21"/>
  <c r="O154" i="26"/>
  <c r="L147" i="4"/>
  <c r="O100" i="22"/>
  <c r="L82" i="9"/>
  <c r="K20" i="12"/>
  <c r="O25" i="28"/>
  <c r="K75" i="22"/>
  <c r="K89" i="11"/>
  <c r="K98" i="32"/>
  <c r="M35" i="12"/>
  <c r="K4" i="18"/>
  <c r="K81" i="26"/>
  <c r="L150" i="3"/>
  <c r="L133" i="4"/>
  <c r="N176" i="5"/>
  <c r="N166" i="19"/>
  <c r="L100" i="9"/>
  <c r="K182" i="2"/>
  <c r="K73" i="27"/>
  <c r="K176" i="25"/>
  <c r="L115" i="10"/>
  <c r="L96" i="11"/>
  <c r="M153" i="25"/>
  <c r="N21" i="16"/>
  <c r="O118" i="4"/>
  <c r="O6" i="6"/>
  <c r="K102" i="23"/>
  <c r="M113" i="20"/>
  <c r="K71" i="24"/>
  <c r="O137" i="25"/>
  <c r="M121" i="6"/>
  <c r="M134" i="31"/>
  <c r="M172" i="4"/>
  <c r="M109" i="11"/>
  <c r="M87" i="20"/>
  <c r="O143" i="30"/>
  <c r="K128" i="1"/>
  <c r="M177" i="22"/>
  <c r="L84" i="23"/>
  <c r="N16" i="9"/>
  <c r="K108" i="1"/>
  <c r="K139" i="28"/>
  <c r="M119" i="23"/>
  <c r="N82" i="32"/>
  <c r="N146"/>
  <c r="O36" i="11"/>
  <c r="K16" i="22"/>
  <c r="O162" i="15"/>
  <c r="L171" i="19"/>
  <c r="O155" i="2"/>
  <c r="M154" i="15"/>
  <c r="L180" i="23"/>
  <c r="M95" i="29"/>
  <c r="K184" i="33"/>
  <c r="N157" i="30"/>
  <c r="K161"/>
  <c r="K93" i="31"/>
  <c r="L81" i="28"/>
  <c r="O154" i="6"/>
  <c r="N108" i="5"/>
  <c r="N148" i="23"/>
  <c r="K14" i="9"/>
  <c r="O87" i="22"/>
  <c r="M139" i="4"/>
  <c r="M87" i="19"/>
  <c r="N88" i="27"/>
  <c r="M30" i="6"/>
  <c r="K162" i="1"/>
  <c r="L56" i="2"/>
  <c r="O52" i="27"/>
  <c r="L163" i="24"/>
  <c r="L114" i="30"/>
  <c r="L113" i="9"/>
  <c r="M155" i="15"/>
  <c r="N69"/>
  <c r="L135" i="28"/>
  <c r="L30" i="10"/>
  <c r="O152" i="1"/>
  <c r="M72" i="22"/>
  <c r="K63" i="12"/>
  <c r="L59" i="28"/>
  <c r="K87" i="4"/>
  <c r="K28" i="11"/>
  <c r="O25" i="20"/>
  <c r="N152" i="6"/>
  <c r="L78" i="22"/>
  <c r="L165" i="2"/>
  <c r="K148" i="27"/>
  <c r="O87" i="25"/>
  <c r="L174" i="23"/>
  <c r="N3" i="33"/>
  <c r="K31" i="26"/>
  <c r="K13" i="5"/>
  <c r="L87" i="33"/>
  <c r="L180" i="2"/>
  <c r="N169" i="28"/>
  <c r="N136" i="15"/>
  <c r="K159" i="26"/>
  <c r="K157" i="31"/>
  <c r="L139" i="29"/>
  <c r="O44" i="28"/>
  <c r="N45" i="15"/>
  <c r="O170"/>
  <c r="K137" i="5"/>
  <c r="O93" i="3"/>
  <c r="M92" i="27"/>
  <c r="O60" i="9"/>
  <c r="K71" i="10"/>
  <c r="M84" i="1"/>
  <c r="O4" i="33"/>
  <c r="O155" i="12"/>
  <c r="O53" i="17"/>
  <c r="K38" i="12"/>
  <c r="K178" i="26"/>
  <c r="L63" i="18"/>
  <c r="L171" i="12"/>
  <c r="K99" i="9"/>
  <c r="N142" i="16"/>
  <c r="M13" i="33"/>
  <c r="K112" i="26"/>
  <c r="M47" i="23"/>
  <c r="K10" i="11"/>
  <c r="N65" i="30"/>
  <c r="K72" i="6"/>
  <c r="L130" i="15"/>
  <c r="N96" i="19"/>
  <c r="K31" i="30"/>
  <c r="K135" i="11"/>
  <c r="N85" i="16"/>
  <c r="K65" i="11"/>
  <c r="L95" i="9"/>
  <c r="L95" i="5"/>
  <c r="N171" i="6"/>
  <c r="M153" i="5"/>
  <c r="M65" i="31"/>
  <c r="M39" i="2"/>
  <c r="K127" i="23"/>
  <c r="K167" i="31"/>
  <c r="O18" i="24"/>
  <c r="M148" i="3"/>
  <c r="M135" i="29"/>
  <c r="O126" i="2"/>
  <c r="K21" i="23"/>
  <c r="O123" i="16"/>
  <c r="N128" i="30"/>
  <c r="M67" i="18"/>
  <c r="L148" i="33"/>
  <c r="O46" i="32"/>
  <c r="K178" i="29"/>
  <c r="O113" i="5"/>
  <c r="N43" i="1"/>
  <c r="K121" i="26"/>
  <c r="K162" i="31"/>
  <c r="N178" i="11"/>
  <c r="N42" i="19"/>
  <c r="N96" i="27"/>
  <c r="O47" i="11"/>
  <c r="O133" i="23"/>
  <c r="M118" i="32"/>
  <c r="K68" i="17"/>
  <c r="O16" i="30"/>
  <c r="O176" i="33"/>
  <c r="K85" i="24"/>
  <c r="O76" i="32"/>
  <c r="K136" i="19"/>
  <c r="N30" i="29"/>
  <c r="M174" i="20"/>
  <c r="O151" i="1"/>
  <c r="L118" i="30"/>
  <c r="O40" i="24"/>
  <c r="O176" i="19"/>
  <c r="N13" i="32"/>
  <c r="N11" i="12"/>
  <c r="N67" i="32"/>
  <c r="K60" i="24"/>
  <c r="M30" i="33"/>
  <c r="N86" i="2"/>
  <c r="M64" i="21"/>
  <c r="L85" i="10"/>
  <c r="L163" i="6"/>
  <c r="M49" i="32"/>
  <c r="O65" i="15"/>
  <c r="M185" i="25"/>
  <c r="L109" i="9"/>
  <c r="N4" i="10"/>
  <c r="L69" i="30"/>
  <c r="O35" i="5"/>
  <c r="O89"/>
  <c r="K9" i="16"/>
  <c r="K116" i="5"/>
  <c r="K131" i="33"/>
  <c r="N121" i="3"/>
  <c r="M149" i="28"/>
  <c r="L44" i="10"/>
  <c r="O37" i="22"/>
  <c r="N39" i="18"/>
  <c r="K71" i="30"/>
  <c r="N118" i="15"/>
  <c r="K101" i="18"/>
  <c r="O127" i="22"/>
  <c r="N170" i="31"/>
  <c r="K185" i="28"/>
  <c r="L49" i="5"/>
  <c r="O107" i="21"/>
  <c r="K31" i="5"/>
  <c r="M123" i="18"/>
  <c r="L93" i="33"/>
  <c r="N74" i="3"/>
  <c r="N116" i="16"/>
  <c r="K142" i="33"/>
  <c r="L46" i="23"/>
  <c r="L120" i="30"/>
  <c r="O144" i="33"/>
  <c r="M145" i="4"/>
  <c r="M117" i="9"/>
  <c r="O136" i="30"/>
  <c r="N154" i="5"/>
  <c r="L47" i="18"/>
  <c r="L88" i="12"/>
  <c r="N173" i="21"/>
  <c r="N71" i="30"/>
  <c r="M21" i="20"/>
  <c r="N176" i="27"/>
  <c r="L171" i="2"/>
  <c r="N177" i="9"/>
  <c r="M23" i="10"/>
  <c r="M15" i="32"/>
  <c r="K139" i="19"/>
  <c r="N177" i="27"/>
  <c r="N122" i="32"/>
  <c r="M133" i="31"/>
  <c r="L140" i="1"/>
  <c r="M151" i="9"/>
  <c r="K128" i="15"/>
  <c r="K146" i="23"/>
  <c r="N154" i="18"/>
  <c r="K58" i="24"/>
  <c r="N128" i="12"/>
  <c r="L143" i="5"/>
  <c r="K11" i="32"/>
  <c r="M180" i="33"/>
  <c r="K78" i="32"/>
  <c r="K154"/>
  <c r="N107" i="28"/>
  <c r="L86" i="23"/>
  <c r="K158" i="15"/>
  <c r="M31" i="23"/>
  <c r="N159" i="33"/>
  <c r="K179" i="16"/>
  <c r="N16" i="4"/>
  <c r="N73" i="17"/>
  <c r="M166" i="25"/>
  <c r="N132" i="32"/>
  <c r="K162"/>
  <c r="O86" i="9"/>
  <c r="M39" i="32"/>
  <c r="O159" i="26"/>
  <c r="O47" i="9"/>
  <c r="N119" i="1"/>
  <c r="L136" i="10"/>
  <c r="K183" i="5"/>
  <c r="M123" i="23"/>
  <c r="O30" i="17"/>
  <c r="M26" i="16"/>
  <c r="M136" i="5"/>
  <c r="M100" i="9"/>
  <c r="N107" i="18"/>
  <c r="L24" i="15"/>
  <c r="L143" i="12"/>
  <c r="O75" i="5"/>
  <c r="L148" i="10"/>
  <c r="K167" i="29"/>
  <c r="L150" i="16"/>
  <c r="N74" i="19"/>
  <c r="N53" i="20"/>
  <c r="L123" i="25"/>
  <c r="L182" i="12"/>
  <c r="O122" i="9"/>
  <c r="N152" i="30"/>
  <c r="N133" i="6"/>
  <c r="M42" i="10"/>
  <c r="N68" i="32"/>
  <c r="L165" i="11"/>
  <c r="K80" i="17"/>
  <c r="M101" i="18"/>
  <c r="L39" i="33"/>
  <c r="N162" i="3"/>
  <c r="K160" i="22"/>
  <c r="O150"/>
  <c r="O152" i="32"/>
  <c r="M147" i="18"/>
  <c r="N116" i="2"/>
  <c r="N181" i="5"/>
  <c r="M120" i="33"/>
  <c r="O24" i="22"/>
  <c r="K30" i="33"/>
  <c r="K166" i="12"/>
  <c r="M96" i="21"/>
  <c r="M108" i="20"/>
  <c r="N54"/>
  <c r="M43" i="22"/>
  <c r="M4" i="9"/>
  <c r="K16" i="31"/>
  <c r="M33" i="3"/>
  <c r="N171" i="30"/>
  <c r="O161" i="29"/>
  <c r="M36" i="10"/>
  <c r="K81" i="9"/>
  <c r="M120" i="32"/>
  <c r="L120" i="31"/>
  <c r="O160" i="17"/>
  <c r="M139" i="10"/>
  <c r="M144" i="3"/>
  <c r="N59" i="20"/>
  <c r="O140" i="31"/>
  <c r="N14" i="6"/>
  <c r="O183" i="16"/>
  <c r="M35" i="32"/>
  <c r="K38" i="2"/>
  <c r="K71" i="17"/>
  <c r="L3" i="6"/>
  <c r="L142" i="19"/>
  <c r="M10" i="30"/>
  <c r="O40" i="32"/>
  <c r="K182" i="6"/>
  <c r="O166" i="29"/>
  <c r="N3" i="9"/>
  <c r="O92" i="10"/>
  <c r="M56" i="3"/>
  <c r="O42" i="19"/>
  <c r="N114" i="29"/>
  <c r="M73" i="22"/>
  <c r="N146" i="33"/>
  <c r="K66" i="19"/>
  <c r="N3" i="22"/>
  <c r="K101" i="21"/>
  <c r="K87" i="16"/>
  <c r="O131" i="6"/>
  <c r="K117" i="9"/>
  <c r="N178" i="32"/>
  <c r="N135" i="3"/>
  <c r="K89" i="16"/>
  <c r="N123" i="17"/>
  <c r="K181" i="30"/>
  <c r="K133" i="19"/>
  <c r="K118" i="5"/>
  <c r="L110" i="3"/>
  <c r="N155" i="5"/>
  <c r="L113" i="26"/>
  <c r="K112" i="32"/>
  <c r="L159" i="31"/>
  <c r="N98" i="15"/>
  <c r="N85" i="18"/>
  <c r="K28" i="12"/>
  <c r="L111" i="5"/>
  <c r="M3" i="3"/>
  <c r="O129" i="11"/>
  <c r="M47" i="31"/>
  <c r="O91" i="22"/>
  <c r="N25" i="5"/>
  <c r="N5" i="10"/>
  <c r="K52" i="6"/>
  <c r="K46" i="25"/>
  <c r="K166" i="29"/>
  <c r="M56" i="22"/>
  <c r="K110" i="4"/>
  <c r="L115" i="25"/>
  <c r="K79"/>
  <c r="O134" i="6"/>
  <c r="L61" i="22"/>
  <c r="L178" i="18"/>
  <c r="L3" i="19"/>
  <c r="N135" i="30"/>
  <c r="K14" i="16"/>
  <c r="L57" i="20"/>
  <c r="N58" i="1"/>
  <c r="K181"/>
  <c r="N14" i="30"/>
  <c r="M13" i="4"/>
  <c r="M115" i="29"/>
  <c r="O126" i="9"/>
  <c r="N185" i="3"/>
  <c r="L172" i="11"/>
  <c r="L165" i="31"/>
  <c r="N5" i="15"/>
  <c r="L95" i="3"/>
  <c r="L95" i="15"/>
  <c r="O132" i="21"/>
  <c r="K106" i="27"/>
  <c r="N24" i="31"/>
  <c r="K39" i="29"/>
  <c r="M34" i="3"/>
  <c r="O51" i="18"/>
  <c r="M86" i="29"/>
  <c r="L30" i="32"/>
  <c r="N168" i="12"/>
  <c r="M110" i="28"/>
  <c r="L46" i="2"/>
  <c r="M6" i="26"/>
  <c r="K4" i="11"/>
  <c r="N141" i="25"/>
  <c r="M109" i="9"/>
  <c r="O20" i="1"/>
  <c r="L82" i="10"/>
  <c r="K102" i="27"/>
  <c r="N160" i="26"/>
  <c r="M60" i="4"/>
  <c r="O165" i="26"/>
  <c r="O52" i="3"/>
  <c r="L140" i="28"/>
  <c r="K64" i="16"/>
  <c r="M93" i="31"/>
  <c r="N30" i="32"/>
  <c r="M151"/>
  <c r="O151" i="11"/>
  <c r="N146" i="10"/>
  <c r="M4" i="5"/>
  <c r="N122"/>
  <c r="N57" i="23"/>
  <c r="M141" i="29"/>
  <c r="O173" i="3"/>
  <c r="N35" i="10"/>
  <c r="O134" i="26"/>
  <c r="L118" i="15"/>
  <c r="N47" i="25"/>
  <c r="O86" i="19"/>
  <c r="K120" i="16"/>
  <c r="N146" i="5"/>
  <c r="K169" i="6"/>
  <c r="M163" i="25"/>
  <c r="N45" i="32"/>
  <c r="O77" i="15"/>
  <c r="O26" i="17"/>
  <c r="O66" i="25"/>
  <c r="L139" i="22"/>
  <c r="M112" i="5"/>
  <c r="O137" i="22"/>
  <c r="K88" i="32"/>
  <c r="O136" i="10"/>
  <c r="M157" i="6"/>
  <c r="M142" i="11"/>
  <c r="N23" i="25"/>
  <c r="O13" i="29"/>
  <c r="N96" i="30"/>
  <c r="M8" i="32"/>
  <c r="N47" i="24"/>
  <c r="N108" i="15"/>
  <c r="K110" i="17"/>
  <c r="O71" i="9"/>
  <c r="K34" i="26"/>
  <c r="K120" i="33"/>
  <c r="N123" i="29"/>
  <c r="L74" i="20"/>
  <c r="M3" i="25"/>
  <c r="O72" i="31"/>
  <c r="K153" i="17"/>
  <c r="M28" i="11"/>
  <c r="O98" i="33"/>
  <c r="M37" i="24"/>
  <c r="M33" i="16"/>
  <c r="N123" i="31"/>
  <c r="O71" i="1"/>
  <c r="K73" i="32"/>
  <c r="L146" i="5"/>
  <c r="K42" i="17"/>
  <c r="O114" i="15"/>
  <c r="M42" i="9"/>
  <c r="N161" i="17"/>
  <c r="K67" i="27"/>
  <c r="K136" i="31"/>
  <c r="K89" i="22"/>
  <c r="O148" i="27"/>
  <c r="O130" i="30"/>
  <c r="M139" i="24"/>
  <c r="N155" i="28"/>
  <c r="L18" i="1"/>
  <c r="M99" i="22"/>
  <c r="M51" i="18"/>
  <c r="N158" i="20"/>
  <c r="L92" i="9"/>
  <c r="K155" i="12"/>
  <c r="K50" i="25"/>
  <c r="N23" i="17"/>
  <c r="L169" i="27"/>
  <c r="L75" i="3"/>
  <c r="K152" i="22"/>
  <c r="K59" i="2"/>
  <c r="M14" i="6"/>
  <c r="K77" i="33"/>
  <c r="M85" i="26"/>
  <c r="O43" i="20"/>
  <c r="L64" i="33"/>
  <c r="K29" i="31"/>
  <c r="O141" i="28"/>
  <c r="L133" i="30"/>
  <c r="K25" i="11"/>
  <c r="K158" i="20"/>
  <c r="O34" i="17"/>
  <c r="O36" i="5"/>
  <c r="M86" i="17"/>
  <c r="N51" i="29"/>
  <c r="N20" i="12"/>
  <c r="O154" i="18"/>
  <c r="N18" i="32"/>
  <c r="K111" i="28"/>
  <c r="N106" i="32"/>
  <c r="O96" i="29"/>
  <c r="O67" i="1"/>
  <c r="O145" i="16"/>
  <c r="K68" i="23"/>
  <c r="N36" i="27"/>
  <c r="L4" i="30"/>
  <c r="L98" i="17"/>
  <c r="O21" i="6"/>
  <c r="O28" i="27"/>
  <c r="M79" i="32"/>
  <c r="N172" i="3"/>
  <c r="L16" i="24"/>
  <c r="M3" i="33"/>
  <c r="K64" i="4"/>
  <c r="O5" i="21"/>
  <c r="O33" i="24"/>
  <c r="M74" i="30"/>
  <c r="L111" i="9"/>
  <c r="M68" i="23"/>
  <c r="N35" i="32"/>
  <c r="K64" i="30"/>
  <c r="N129" i="33"/>
  <c r="N150" i="6"/>
  <c r="K100" i="30"/>
  <c r="O130" i="22"/>
  <c r="N144"/>
  <c r="K185" i="10"/>
  <c r="K174" i="30"/>
  <c r="M99" i="9"/>
  <c r="N60" i="32"/>
  <c r="N121" i="16"/>
  <c r="M113" i="31"/>
  <c r="N121" i="1"/>
  <c r="M151" i="19"/>
  <c r="K139" i="21"/>
  <c r="L13" i="6"/>
  <c r="O134" i="3"/>
  <c r="L185" i="9"/>
  <c r="K37" i="10"/>
  <c r="O73" i="32"/>
  <c r="O43" i="1"/>
  <c r="L110" i="32"/>
  <c r="N115" i="22"/>
  <c r="M63" i="28"/>
  <c r="K3" i="6"/>
  <c r="L34" i="30"/>
  <c r="K178" i="6"/>
  <c r="M8" i="18"/>
  <c r="O73" i="20"/>
  <c r="N95"/>
  <c r="L66" i="30"/>
  <c r="K74" i="5"/>
  <c r="L49" i="33"/>
  <c r="K128" i="27"/>
  <c r="L92" i="33"/>
  <c r="N72" i="15"/>
  <c r="K84" i="27"/>
  <c r="M114" i="9"/>
  <c r="O5" i="17"/>
  <c r="M19" i="15"/>
  <c r="K54" i="19"/>
  <c r="O20" i="33"/>
  <c r="M144" i="1"/>
  <c r="L100" i="4"/>
  <c r="L158" i="3"/>
  <c r="L60" i="17"/>
  <c r="N106" i="1"/>
  <c r="L44" i="23"/>
  <c r="K144" i="3"/>
  <c r="M5"/>
  <c r="L136" i="12"/>
  <c r="K159" i="1"/>
  <c r="O4" i="19"/>
  <c r="N131" i="5"/>
  <c r="L120" i="9"/>
  <c r="N117" i="5"/>
  <c r="M122" i="18"/>
  <c r="N58" i="17"/>
  <c r="N154" i="28"/>
  <c r="O94" i="3"/>
  <c r="K131" i="24"/>
  <c r="N153" i="23"/>
  <c r="M139" i="3"/>
  <c r="L51" i="30"/>
  <c r="K137" i="9"/>
  <c r="K146" i="22"/>
  <c r="K20" i="6"/>
  <c r="O26" i="19"/>
  <c r="L78" i="23"/>
  <c r="L131" i="19"/>
  <c r="O185" i="3"/>
  <c r="M9" i="15"/>
  <c r="M89" i="24"/>
  <c r="M72" i="27"/>
  <c r="O13" i="9"/>
  <c r="M42" i="19"/>
  <c r="L139" i="31"/>
  <c r="K167" i="3"/>
  <c r="M87" i="30"/>
  <c r="M85" i="6"/>
  <c r="L33" i="33"/>
  <c r="M44" i="12"/>
  <c r="M123" i="3"/>
  <c r="L20" i="33"/>
  <c r="O169" i="31"/>
  <c r="L80" i="16"/>
  <c r="O147" i="23"/>
  <c r="O72" i="20"/>
  <c r="L13" i="23"/>
  <c r="O53" i="31"/>
  <c r="M184" i="17"/>
  <c r="M53" i="30"/>
  <c r="N109" i="5"/>
  <c r="N61" i="15"/>
  <c r="L8" i="16"/>
  <c r="K102" i="4"/>
  <c r="L118" i="3"/>
  <c r="O47" i="18"/>
  <c r="M28" i="4"/>
  <c r="M119" i="5"/>
  <c r="K174" i="15"/>
  <c r="L117" i="27"/>
  <c r="L130" i="3"/>
  <c r="N33" i="15"/>
  <c r="L5" i="24"/>
  <c r="M4" i="6"/>
  <c r="M174" i="11"/>
  <c r="L170" i="22"/>
  <c r="O38" i="10"/>
  <c r="O149" i="11"/>
  <c r="N11" i="22"/>
  <c r="L107" i="29"/>
  <c r="L25" i="26"/>
  <c r="M81" i="19"/>
  <c r="L167" i="23"/>
  <c r="O67" i="31"/>
  <c r="K116" i="22"/>
  <c r="L137" i="11"/>
  <c r="L167" i="10"/>
  <c r="O159" i="15"/>
  <c r="M75" i="23"/>
  <c r="K58" i="2"/>
  <c r="M165" i="15"/>
  <c r="N21" i="32"/>
  <c r="K140" i="33"/>
  <c r="N165" i="5"/>
  <c r="N99" i="25"/>
  <c r="M39" i="16"/>
  <c r="M174" i="31"/>
  <c r="O51" i="6"/>
  <c r="K21" i="1"/>
  <c r="L178" i="3"/>
  <c r="N142" i="29"/>
  <c r="N159" i="30"/>
  <c r="L93" i="28"/>
  <c r="M132" i="30"/>
  <c r="N15" i="29"/>
  <c r="L18" i="4"/>
  <c r="K43" i="18"/>
  <c r="M65" i="2"/>
  <c r="M110" i="1"/>
  <c r="N141" i="32"/>
  <c r="K26" i="9"/>
  <c r="N26" i="22"/>
  <c r="L109" i="29"/>
  <c r="M85" i="28"/>
  <c r="N131" i="29"/>
  <c r="M177" i="30"/>
  <c r="O150" i="9"/>
  <c r="N84" i="2"/>
  <c r="K125" i="26"/>
  <c r="N31" i="29"/>
  <c r="O72" i="21"/>
  <c r="L146" i="15"/>
  <c r="O143" i="20"/>
  <c r="M129" i="24"/>
  <c r="N110" i="21"/>
  <c r="L80" i="6"/>
  <c r="L132" i="27"/>
  <c r="M61" i="11"/>
  <c r="K170" i="22"/>
  <c r="M3" i="9"/>
  <c r="K87" i="26"/>
  <c r="O8" i="16"/>
  <c r="L79" i="23"/>
  <c r="O111" i="30"/>
  <c r="O40" i="26"/>
  <c r="M116" i="12"/>
  <c r="L142" i="24"/>
  <c r="N184" i="1"/>
  <c r="L57" i="31"/>
  <c r="O26" i="6"/>
  <c r="O25" i="18"/>
  <c r="O54" i="23"/>
  <c r="M166" i="26"/>
  <c r="N98" i="28"/>
  <c r="O128" i="1"/>
  <c r="K73" i="19"/>
  <c r="M77" i="25"/>
  <c r="M161" i="33"/>
  <c r="L52" i="12"/>
  <c r="K13" i="29"/>
  <c r="N19" i="18"/>
  <c r="L174" i="1"/>
  <c r="L145" i="17"/>
  <c r="L39" i="11"/>
  <c r="M169" i="5"/>
  <c r="N71" i="27"/>
  <c r="M148" i="21"/>
  <c r="K19" i="17"/>
  <c r="K3" i="3"/>
  <c r="N99" i="32"/>
  <c r="L96"/>
  <c r="M57" i="23"/>
  <c r="L60" i="20"/>
  <c r="K127" i="21"/>
  <c r="K74" i="26"/>
  <c r="L9" i="29"/>
  <c r="K116" i="33"/>
  <c r="K152" i="2"/>
  <c r="O44" i="29"/>
  <c r="K29" i="9"/>
  <c r="O116" i="12"/>
  <c r="O72" i="19"/>
  <c r="M96" i="12"/>
  <c r="N173" i="9"/>
  <c r="L162" i="1"/>
  <c r="O155" i="6"/>
  <c r="O88" i="3"/>
  <c r="O166" i="32"/>
  <c r="M64" i="24"/>
  <c r="N66" i="31"/>
  <c r="N30" i="16"/>
  <c r="M58" i="33"/>
  <c r="L57" i="2"/>
  <c r="O31" i="15"/>
  <c r="N181" i="4"/>
  <c r="O127" i="27"/>
  <c r="L14" i="20"/>
  <c r="L5" i="11"/>
  <c r="M31" i="25"/>
  <c r="L181" i="21"/>
  <c r="K150" i="2"/>
  <c r="O182" i="22"/>
  <c r="N178" i="18"/>
  <c r="K142" i="6"/>
  <c r="N11" i="27"/>
  <c r="L165" i="30"/>
  <c r="N127" i="4"/>
  <c r="L150" i="22"/>
  <c r="K21" i="24"/>
  <c r="L140" i="32"/>
  <c r="N19" i="26"/>
  <c r="M108"/>
  <c r="L101" i="10"/>
  <c r="L4" i="11"/>
  <c r="O127" i="5"/>
  <c r="M44" i="27"/>
  <c r="M76" i="33"/>
  <c r="L132" i="10"/>
  <c r="N76" i="28"/>
  <c r="N21" i="17"/>
  <c r="M19" i="12"/>
  <c r="M180" i="6"/>
  <c r="M93" i="29"/>
  <c r="N98" i="10"/>
  <c r="L71" i="29"/>
  <c r="N183" i="19"/>
  <c r="N85" i="15"/>
  <c r="O93" i="9"/>
  <c r="L85" i="3"/>
  <c r="L16" i="31"/>
  <c r="M82" i="6"/>
  <c r="O108" i="16"/>
  <c r="L92" i="21"/>
  <c r="M177" i="28"/>
  <c r="N28" i="26"/>
  <c r="M129" i="21"/>
  <c r="M10" i="3"/>
  <c r="N167" i="33"/>
  <c r="K74" i="22"/>
  <c r="N14" i="33"/>
  <c r="K150" i="12"/>
  <c r="K11" i="19"/>
  <c r="L134" i="6"/>
  <c r="L25" i="17"/>
  <c r="M82" i="21"/>
  <c r="M157" i="31"/>
  <c r="M122" i="5"/>
  <c r="N95" i="15"/>
  <c r="K23" i="18"/>
  <c r="O151" i="5"/>
  <c r="K129" i="27"/>
  <c r="O6" i="9"/>
  <c r="L126" i="2"/>
  <c r="K160" i="23"/>
  <c r="N161" i="3"/>
  <c r="N144" i="4"/>
  <c r="L34" i="25"/>
  <c r="K81" i="21"/>
  <c r="K85" i="5"/>
  <c r="N146" i="3"/>
  <c r="L183" i="6"/>
  <c r="N181" i="24"/>
  <c r="K85" i="25"/>
  <c r="K24" i="12"/>
  <c r="O160" i="26"/>
  <c r="M68" i="11"/>
  <c r="L110" i="22"/>
  <c r="O97" i="3"/>
  <c r="O146" i="4"/>
  <c r="K45" i="1"/>
  <c r="K67" i="5"/>
  <c r="M66" i="19"/>
  <c r="K68" i="6"/>
  <c r="L46" i="3"/>
  <c r="O132" i="19"/>
  <c r="M97" i="3"/>
  <c r="O144" i="12"/>
  <c r="K183" i="27"/>
  <c r="N148" i="28"/>
  <c r="O74" i="29"/>
  <c r="O114" i="21"/>
  <c r="O157" i="24"/>
  <c r="K29" i="32"/>
  <c r="K179" i="23"/>
  <c r="M181" i="15"/>
  <c r="O14" i="27"/>
  <c r="M133" i="23"/>
  <c r="K161" i="10"/>
  <c r="N111"/>
  <c r="L128" i="4"/>
  <c r="N86" i="15"/>
  <c r="O66" i="2"/>
  <c r="M155" i="11"/>
  <c r="L121" i="9"/>
  <c r="M18" i="22"/>
  <c r="K146" i="17"/>
  <c r="O169" i="15"/>
  <c r="O119" i="21"/>
  <c r="K136" i="6"/>
  <c r="K87" i="21"/>
  <c r="O75" i="17"/>
  <c r="N93" i="30"/>
  <c r="M126" i="27"/>
  <c r="M95" i="33"/>
  <c r="L125" i="18"/>
  <c r="L24" i="25"/>
  <c r="N131" i="26"/>
  <c r="O144" i="27"/>
  <c r="N40" i="28"/>
  <c r="O73"/>
  <c r="M79" i="16"/>
  <c r="O169" i="28"/>
  <c r="K108" i="17"/>
  <c r="M13" i="5"/>
  <c r="N36" i="29"/>
  <c r="M146" i="1"/>
  <c r="N163" i="10"/>
  <c r="N120" i="6"/>
  <c r="M168" i="12"/>
  <c r="L26" i="5"/>
  <c r="K132" i="15"/>
  <c r="M43" i="4"/>
  <c r="L73" i="29"/>
  <c r="L80" i="15"/>
  <c r="N92" i="27"/>
  <c r="O30" i="19"/>
  <c r="N56" i="28"/>
  <c r="L3" i="33"/>
  <c r="N122" i="27"/>
  <c r="M71" i="3"/>
  <c r="L95" i="30"/>
  <c r="L139" i="1"/>
  <c r="K38" i="30"/>
  <c r="L15" i="10"/>
  <c r="K113" i="32"/>
  <c r="N157" i="3"/>
  <c r="K35" i="16"/>
  <c r="K81" i="10"/>
  <c r="L153" i="26"/>
  <c r="N111" i="15"/>
  <c r="L19" i="28"/>
  <c r="O125" i="29"/>
  <c r="K75" i="20"/>
  <c r="L99" i="2"/>
  <c r="M140" i="22"/>
  <c r="N134" i="29"/>
  <c r="L94" i="28"/>
  <c r="N40" i="23"/>
  <c r="K57" i="9"/>
  <c r="K178" i="30"/>
  <c r="L13" i="21"/>
  <c r="N169" i="6"/>
  <c r="K177" i="10"/>
  <c r="M35" i="3"/>
  <c r="O98" i="23"/>
  <c r="O60" i="32"/>
  <c r="N142" i="28"/>
  <c r="L42"/>
  <c r="N146" i="23"/>
  <c r="O19" i="12"/>
  <c r="M74" i="22"/>
  <c r="M157" i="32"/>
  <c r="M13" i="24"/>
  <c r="M115" i="25"/>
  <c r="M171" i="5"/>
  <c r="M56" i="11"/>
  <c r="N96" i="32"/>
  <c r="M33" i="25"/>
  <c r="M125" i="33"/>
  <c r="N45" i="30"/>
  <c r="L106" i="22"/>
  <c r="N87" i="11"/>
  <c r="O158" i="10"/>
  <c r="N129" i="21"/>
  <c r="L59" i="17"/>
  <c r="L170" i="9"/>
  <c r="O21" i="26"/>
  <c r="K159" i="31"/>
  <c r="M25" i="9"/>
  <c r="N118" i="27"/>
  <c r="O162" i="4"/>
  <c r="L177" i="9"/>
  <c r="O150" i="30"/>
  <c r="O82"/>
  <c r="M94" i="1"/>
  <c r="M81"/>
  <c r="K3" i="30"/>
  <c r="M37" i="25"/>
  <c r="K60" i="29"/>
  <c r="K24" i="19"/>
  <c r="O91" i="12"/>
  <c r="O162" i="9"/>
  <c r="L185" i="4"/>
  <c r="O125" i="5"/>
  <c r="M67" i="15"/>
  <c r="K177"/>
  <c r="K153"/>
  <c r="O38" i="31"/>
  <c r="N174" i="22"/>
  <c r="K69" i="32"/>
  <c r="L8" i="9"/>
  <c r="O168" i="3"/>
  <c r="L106" i="27"/>
  <c r="L50" i="16"/>
  <c r="L15" i="11"/>
  <c r="O71" i="5"/>
  <c r="L130" i="6"/>
  <c r="K4" i="4"/>
  <c r="N33" i="3"/>
  <c r="M51" i="32"/>
  <c r="L49" i="22"/>
  <c r="N44" i="5"/>
  <c r="O170" i="9"/>
  <c r="O176" i="25"/>
  <c r="O13" i="20"/>
  <c r="L143"/>
  <c r="N94" i="21"/>
  <c r="N47" i="5"/>
  <c r="M166" i="9"/>
  <c r="L131" i="10"/>
  <c r="K6" i="33"/>
  <c r="L89" i="27"/>
  <c r="N112" i="11"/>
  <c r="O74" i="5"/>
  <c r="O34" i="4"/>
  <c r="M176" i="27"/>
  <c r="L176" i="6"/>
  <c r="N60" i="16"/>
  <c r="M89" i="10"/>
  <c r="L157" i="22"/>
  <c r="L76" i="10"/>
  <c r="M20" i="26"/>
  <c r="O110" i="5"/>
  <c r="O173" i="30"/>
  <c r="L49" i="32"/>
  <c r="N43" i="2"/>
  <c r="M98" i="20"/>
  <c r="M159" i="9"/>
  <c r="K49" i="17"/>
  <c r="L167" i="15"/>
  <c r="K51" i="19"/>
  <c r="O79" i="5"/>
  <c r="O179" i="30"/>
  <c r="N42" i="12"/>
  <c r="L158" i="20"/>
  <c r="O52" i="19"/>
  <c r="N135" i="22"/>
  <c r="O60" i="23"/>
  <c r="O74"/>
  <c r="N85" i="32"/>
  <c r="O45" i="6"/>
  <c r="M161" i="16"/>
  <c r="O78" i="32"/>
  <c r="M149"/>
  <c r="L122" i="6"/>
  <c r="L184" i="4"/>
  <c r="M126" i="16"/>
  <c r="N82" i="30"/>
  <c r="O58" i="17"/>
  <c r="L14" i="6"/>
  <c r="K86" i="3"/>
  <c r="O132" i="10"/>
  <c r="N4" i="31"/>
  <c r="M99" i="6"/>
  <c r="M109" i="22"/>
  <c r="N100" i="3"/>
  <c r="L149" i="10"/>
  <c r="O121"/>
  <c r="K58" i="31"/>
  <c r="M106" i="16"/>
  <c r="M134" i="22"/>
  <c r="L67" i="27"/>
  <c r="K134" i="32"/>
  <c r="M122" i="22"/>
  <c r="L146" i="11"/>
  <c r="M100" i="33"/>
  <c r="N54"/>
  <c r="M134" i="15"/>
  <c r="L134" i="5"/>
  <c r="M51" i="28"/>
  <c r="K23" i="16"/>
  <c r="N129" i="17"/>
  <c r="L166" i="29"/>
  <c r="O38" i="3"/>
  <c r="K141" i="21"/>
  <c r="N26" i="5"/>
  <c r="M63" i="18"/>
  <c r="M14" i="1"/>
  <c r="N177" i="26"/>
  <c r="M128" i="31"/>
  <c r="O99"/>
  <c r="K46" i="15"/>
  <c r="L9" i="2"/>
  <c r="L69" i="23"/>
  <c r="L66"/>
  <c r="L58" i="10"/>
  <c r="O10" i="5"/>
  <c r="L29" i="2"/>
  <c r="N20" i="24"/>
  <c r="K171" i="27"/>
  <c r="K122" i="6"/>
  <c r="M97" i="9"/>
  <c r="M4" i="32"/>
  <c r="O23" i="1"/>
  <c r="K33" i="27"/>
  <c r="N181" i="20"/>
  <c r="K142" i="11"/>
  <c r="K122" i="3"/>
  <c r="O42" i="23"/>
  <c r="N11" i="2"/>
  <c r="N137" i="1"/>
  <c r="M29" i="17"/>
  <c r="O168" i="9"/>
  <c r="O33" i="5"/>
  <c r="N65" i="1"/>
  <c r="N92" i="16"/>
  <c r="K69" i="26"/>
  <c r="M49" i="27"/>
  <c r="K122" i="32"/>
  <c r="O81" i="33"/>
  <c r="L59" i="2"/>
  <c r="N170" i="1"/>
  <c r="M26" i="9"/>
  <c r="O86" i="33"/>
  <c r="K183" i="29"/>
  <c r="K46" i="31"/>
  <c r="K64" i="6"/>
  <c r="N154" i="1"/>
  <c r="K106" i="19"/>
  <c r="M97" i="25"/>
  <c r="L132" i="16"/>
  <c r="O174" i="22"/>
  <c r="K86" i="27"/>
  <c r="L78" i="29"/>
  <c r="L66" i="22"/>
  <c r="N60" i="5"/>
  <c r="O73" i="22"/>
  <c r="O54" i="28"/>
  <c r="M81" i="15"/>
  <c r="L31" i="23"/>
  <c r="M110" i="6"/>
  <c r="N154" i="16"/>
  <c r="K150" i="31"/>
  <c r="O133" i="28"/>
  <c r="K26" i="21"/>
  <c r="O43"/>
  <c r="M58" i="11"/>
  <c r="K159" i="23"/>
  <c r="N170" i="32"/>
  <c r="M56" i="27"/>
  <c r="M170" i="16"/>
  <c r="M44" i="22"/>
  <c r="O46" i="17"/>
  <c r="L102" i="19"/>
  <c r="N49" i="16"/>
  <c r="K129"/>
  <c r="M34" i="31"/>
  <c r="N96" i="15"/>
  <c r="L170" i="1"/>
  <c r="K151" i="11"/>
  <c r="N37" i="5"/>
  <c r="K35" i="11"/>
  <c r="O171" i="2"/>
  <c r="O63" i="28"/>
  <c r="M77" i="19"/>
  <c r="N185" i="1"/>
  <c r="O132" i="3"/>
  <c r="K172" i="29"/>
  <c r="M44" i="30"/>
  <c r="L21" i="32"/>
  <c r="K65"/>
  <c r="O117" i="31"/>
  <c r="O61" i="22"/>
  <c r="L86" i="16"/>
  <c r="K71" i="21"/>
  <c r="M79" i="3"/>
  <c r="O95" i="15"/>
  <c r="O98" i="22"/>
  <c r="L77" i="25"/>
  <c r="M6" i="10"/>
  <c r="M45" i="25"/>
  <c r="K15" i="2"/>
  <c r="M148" i="27"/>
  <c r="O54" i="20"/>
  <c r="O145" i="11"/>
  <c r="K24" i="29"/>
  <c r="L154" i="19"/>
  <c r="K86" i="25"/>
  <c r="K78" i="6"/>
  <c r="K101" i="16"/>
  <c r="M67" i="23"/>
  <c r="O98" i="11"/>
  <c r="N134" i="9"/>
  <c r="L34" i="12"/>
  <c r="M111" i="11"/>
  <c r="K136" i="5"/>
  <c r="L127" i="16"/>
  <c r="K45" i="30"/>
  <c r="M33" i="9"/>
  <c r="K182" i="30"/>
  <c r="O102" i="16"/>
  <c r="M68" i="26"/>
  <c r="O49" i="12"/>
  <c r="N19" i="21"/>
  <c r="O108" i="5"/>
  <c r="L150"/>
  <c r="O184" i="27"/>
  <c r="L77"/>
  <c r="N130" i="23"/>
  <c r="M86" i="25"/>
  <c r="M163" i="11"/>
  <c r="L36" i="30"/>
  <c r="K46" i="19"/>
  <c r="N51" i="24"/>
  <c r="N132" i="19"/>
  <c r="O151" i="15"/>
  <c r="M154" i="5"/>
  <c r="O121" i="23"/>
  <c r="L135" i="32"/>
  <c r="N51" i="12"/>
  <c r="M89" i="17"/>
  <c r="M166" i="18"/>
  <c r="O146" i="17"/>
  <c r="M117" i="23"/>
  <c r="K42" i="6"/>
  <c r="L29" i="11"/>
  <c r="O58" i="4"/>
  <c r="M178" i="32"/>
  <c r="L47" i="2"/>
  <c r="K131" i="21"/>
  <c r="N144" i="27"/>
  <c r="K173" i="3"/>
  <c r="K57" i="5"/>
  <c r="N85" i="12"/>
  <c r="O139" i="27"/>
  <c r="M24" i="30"/>
  <c r="O23" i="19"/>
  <c r="O173" i="33"/>
  <c r="O25" i="2"/>
  <c r="L54" i="9"/>
  <c r="K174" i="6"/>
  <c r="O153" i="12"/>
  <c r="N3" i="19"/>
  <c r="O52" i="2"/>
  <c r="O21" i="28"/>
  <c r="L183" i="10"/>
  <c r="L139" i="15"/>
  <c r="N96" i="29"/>
  <c r="L43" i="33"/>
  <c r="L92" i="22"/>
  <c r="M64" i="1"/>
  <c r="O133" i="26"/>
  <c r="N119" i="15"/>
  <c r="M170" i="9"/>
  <c r="M142" i="1"/>
  <c r="L127" i="15"/>
  <c r="M81" i="6"/>
  <c r="N82" i="9"/>
  <c r="O89"/>
  <c r="K154" i="19"/>
  <c r="L144" i="22"/>
  <c r="L113" i="23"/>
  <c r="O134" i="17"/>
  <c r="N146" i="15"/>
  <c r="L184" i="22"/>
  <c r="O172" i="16"/>
  <c r="N176" i="11"/>
  <c r="L153" i="3"/>
  <c r="O81" i="22"/>
  <c r="K166" i="6"/>
  <c r="O77" i="4"/>
  <c r="O84" i="11"/>
  <c r="L44" i="30"/>
  <c r="M43" i="6"/>
  <c r="L139"/>
  <c r="K10" i="30"/>
  <c r="O59" i="18"/>
  <c r="M44" i="28"/>
  <c r="M142" i="31"/>
  <c r="N43" i="30"/>
  <c r="K74" i="27"/>
  <c r="N40" i="31"/>
  <c r="M88" i="18"/>
  <c r="N97" i="30"/>
  <c r="K6" i="16"/>
  <c r="N8" i="5"/>
  <c r="L64" i="12"/>
  <c r="K64" i="33"/>
  <c r="N80" i="19"/>
  <c r="M5" i="5"/>
  <c r="O57" i="31"/>
  <c r="M106" i="17"/>
  <c r="M143" i="19"/>
  <c r="K34" i="6"/>
  <c r="L30" i="17"/>
  <c r="L133" i="19"/>
  <c r="L25" i="12"/>
  <c r="M150" i="19"/>
  <c r="O141" i="32"/>
  <c r="O128" i="21"/>
  <c r="O117" i="11"/>
  <c r="K173" i="2"/>
  <c r="N79" i="30"/>
  <c r="K50" i="31"/>
  <c r="N119" i="5"/>
  <c r="O111" i="22"/>
  <c r="O127" i="4"/>
  <c r="N65" i="17"/>
  <c r="O123" i="27"/>
  <c r="O153" i="32"/>
  <c r="K157" i="30"/>
  <c r="O47" i="1"/>
  <c r="K24" i="27"/>
  <c r="K82" i="5"/>
  <c r="N86" i="3"/>
  <c r="L6" i="6"/>
  <c r="O42" i="22"/>
  <c r="N79" i="28"/>
  <c r="N58" i="6"/>
  <c r="M26" i="23"/>
  <c r="K112" i="11"/>
  <c r="N169" i="12"/>
  <c r="O96" i="27"/>
  <c r="M31" i="19"/>
  <c r="L91" i="27"/>
  <c r="O73" i="30"/>
  <c r="L185" i="19"/>
  <c r="K56" i="33"/>
  <c r="M28"/>
  <c r="K97" i="12"/>
  <c r="K63" i="3"/>
  <c r="L46" i="20"/>
  <c r="O127" i="32"/>
  <c r="L37" i="30"/>
  <c r="M185" i="31"/>
  <c r="K66" i="10"/>
  <c r="M34" i="28"/>
  <c r="M98" i="15"/>
  <c r="L14" i="31"/>
  <c r="N171" i="2"/>
  <c r="N66" i="27"/>
  <c r="L18" i="21"/>
  <c r="L182" i="11"/>
  <c r="N116" i="3"/>
  <c r="K98" i="9"/>
  <c r="N99"/>
  <c r="N114" i="20"/>
  <c r="M146" i="17"/>
  <c r="L174" i="26"/>
  <c r="O14" i="15"/>
  <c r="L140" i="25"/>
  <c r="O69" i="31"/>
  <c r="N179" i="17"/>
  <c r="L54" i="27"/>
  <c r="L66" i="26"/>
  <c r="N183" i="6"/>
  <c r="K24" i="25"/>
  <c r="N37" i="26"/>
  <c r="K113" i="17"/>
  <c r="L29" i="9"/>
  <c r="L57" i="10"/>
  <c r="L59" i="20"/>
  <c r="O5" i="10"/>
  <c r="O163" i="6"/>
  <c r="K160" i="15"/>
  <c r="L13" i="10"/>
  <c r="L179" i="27"/>
  <c r="K144" i="6"/>
  <c r="N79" i="26"/>
  <c r="K140" i="27"/>
  <c r="L157" i="19"/>
  <c r="O57" i="5"/>
  <c r="K71" i="32"/>
  <c r="M155" i="23"/>
  <c r="O102"/>
  <c r="M39" i="5"/>
  <c r="N183"/>
  <c r="L96" i="1"/>
  <c r="O13" i="22"/>
  <c r="K176" i="17"/>
  <c r="N30" i="30"/>
  <c r="N30" i="31"/>
  <c r="L72" i="19"/>
  <c r="O148" i="23"/>
  <c r="K26" i="5"/>
  <c r="K144" i="9"/>
  <c r="K73" i="6"/>
  <c r="K94" i="9"/>
  <c r="M137" i="11"/>
  <c r="K10" i="5"/>
  <c r="K35" i="25"/>
  <c r="K177" i="24"/>
  <c r="K74" i="20"/>
  <c r="N88" i="16"/>
  <c r="M52" i="24"/>
  <c r="N110" i="9"/>
  <c r="O172" i="19"/>
  <c r="K79" i="32"/>
  <c r="N51" i="9"/>
  <c r="O45" i="23"/>
  <c r="L51" i="9"/>
  <c r="N112" i="20"/>
  <c r="N114" i="5"/>
  <c r="M93" i="10"/>
  <c r="N69" i="3"/>
  <c r="L161" i="1"/>
  <c r="K153" i="33"/>
  <c r="M134" i="19"/>
  <c r="O35" i="17"/>
  <c r="L93" i="22"/>
  <c r="L87" i="28"/>
  <c r="M130" i="6"/>
  <c r="L52" i="31"/>
  <c r="O29" i="29"/>
  <c r="O136" i="22"/>
  <c r="L35" i="25"/>
  <c r="L177" i="5"/>
  <c r="K71" i="15"/>
  <c r="M51" i="20"/>
  <c r="L36" i="28"/>
  <c r="L151" i="5"/>
  <c r="M54" i="1"/>
  <c r="N74" i="33"/>
  <c r="N74" i="27"/>
  <c r="M24" i="33"/>
  <c r="K40" i="5"/>
  <c r="O49"/>
  <c r="O20" i="9"/>
  <c r="L64" i="16"/>
  <c r="M25" i="20"/>
  <c r="N151" i="25"/>
  <c r="L144" i="12"/>
  <c r="K126" i="9"/>
  <c r="L54" i="19"/>
  <c r="M79" i="5"/>
  <c r="O80" i="6"/>
  <c r="L99"/>
  <c r="K15" i="4"/>
  <c r="L59" i="27"/>
  <c r="O6" i="2"/>
  <c r="K122" i="9"/>
  <c r="L153" i="22"/>
  <c r="M85" i="9"/>
  <c r="L44" i="28"/>
  <c r="M168" i="3"/>
  <c r="K168" i="19"/>
  <c r="K107" i="31"/>
  <c r="L85" i="5"/>
  <c r="L11" i="6"/>
  <c r="M182" i="26"/>
  <c r="M145" i="9"/>
  <c r="M80" i="31"/>
  <c r="M149" i="20"/>
  <c r="N76" i="33"/>
  <c r="L23" i="16"/>
  <c r="K3" i="10"/>
  <c r="K9" i="4"/>
  <c r="K155" i="5"/>
  <c r="N121" i="15"/>
  <c r="L47" i="4"/>
  <c r="L136" i="6"/>
  <c r="N43" i="10"/>
  <c r="K134" i="31"/>
  <c r="M159" i="20"/>
  <c r="N8" i="23"/>
  <c r="K93" i="5"/>
  <c r="L76" i="28"/>
  <c r="M177" i="15"/>
  <c r="L19" i="10"/>
  <c r="M91" i="28"/>
  <c r="O137" i="23"/>
  <c r="L67" i="11"/>
  <c r="M47" i="32"/>
  <c r="O4" i="20"/>
  <c r="L147" i="29"/>
  <c r="M122" i="32"/>
  <c r="O146" i="1"/>
  <c r="L145" i="27"/>
  <c r="O13" i="25"/>
  <c r="N132" i="6"/>
  <c r="L58" i="30"/>
  <c r="N73" i="10"/>
  <c r="K77" i="25"/>
  <c r="M34" i="12"/>
  <c r="K13" i="17"/>
  <c r="M130" i="15"/>
  <c r="L154" i="16"/>
  <c r="K10" i="32"/>
  <c r="K184" i="19"/>
  <c r="M10" i="15"/>
  <c r="L57" i="23"/>
  <c r="O63" i="24"/>
  <c r="L53" i="22"/>
  <c r="M149" i="33"/>
  <c r="O146" i="24"/>
  <c r="L76" i="32"/>
  <c r="M131" i="3"/>
  <c r="N10" i="15"/>
  <c r="O149" i="27"/>
  <c r="N66" i="30"/>
  <c r="M51" i="24"/>
  <c r="N5" i="23"/>
  <c r="M148" i="5"/>
  <c r="L88"/>
  <c r="L159" i="15"/>
  <c r="O79" i="31"/>
  <c r="K88" i="4"/>
  <c r="N149" i="20"/>
  <c r="K111" i="31"/>
  <c r="M182"/>
  <c r="N120" i="15"/>
  <c r="K95" i="32"/>
  <c r="L159" i="1"/>
  <c r="O64" i="18"/>
  <c r="L33" i="23"/>
  <c r="O9" i="15"/>
  <c r="M131" i="1"/>
  <c r="L92" i="25"/>
  <c r="O82" i="28"/>
  <c r="M15" i="5"/>
  <c r="O10" i="23"/>
  <c r="L176" i="5"/>
  <c r="K66" i="17"/>
  <c r="L145" i="11"/>
  <c r="N58" i="12"/>
  <c r="O13" i="23"/>
  <c r="K158" i="27"/>
  <c r="N93" i="19"/>
  <c r="L127" i="22"/>
  <c r="L170" i="10"/>
  <c r="M131" i="16"/>
  <c r="M38" i="18"/>
  <c r="O4" i="23"/>
  <c r="N39" i="17"/>
  <c r="O60" i="22"/>
  <c r="N155" i="2"/>
  <c r="M33" i="18"/>
  <c r="O157" i="28"/>
  <c r="O21" i="23"/>
  <c r="M31" i="33"/>
  <c r="O85" i="15"/>
  <c r="M85" i="10"/>
  <c r="O94" i="32"/>
  <c r="M19" i="17"/>
  <c r="M30" i="16"/>
  <c r="M43"/>
  <c r="L51" i="27"/>
  <c r="O122" i="25"/>
  <c r="N117" i="16"/>
  <c r="N18"/>
  <c r="K93" i="6"/>
  <c r="O30" i="28"/>
  <c r="K47" i="15"/>
  <c r="N162" i="5"/>
  <c r="N109" i="1"/>
  <c r="N114"/>
  <c r="K178" i="23"/>
  <c r="M95"/>
  <c r="M81" i="27"/>
  <c r="L6" i="28"/>
  <c r="O117" i="20"/>
  <c r="M106" i="31"/>
  <c r="L52" i="9"/>
  <c r="N159" i="6"/>
  <c r="K82" i="32"/>
  <c r="M58" i="5"/>
  <c r="K182" i="27"/>
  <c r="N18" i="31"/>
  <c r="K57" i="3"/>
  <c r="N116" i="11"/>
  <c r="L166" i="6"/>
  <c r="N134" i="10"/>
  <c r="L24" i="9"/>
  <c r="M63" i="6"/>
  <c r="L119" i="15"/>
  <c r="K176" i="16"/>
  <c r="L119" i="5"/>
  <c r="M16" i="26"/>
  <c r="K20" i="1"/>
  <c r="O28" i="28"/>
  <c r="L128" i="5"/>
  <c r="K13" i="2"/>
  <c r="M39" i="9"/>
  <c r="N38" i="6"/>
  <c r="K102" i="19"/>
  <c r="K119" i="22"/>
  <c r="L114"/>
  <c r="L142" i="17"/>
  <c r="K171" i="26"/>
  <c r="K46" i="29"/>
  <c r="N16" i="17"/>
  <c r="K145" i="21"/>
  <c r="M135" i="9"/>
  <c r="L180" i="19"/>
  <c r="N19" i="32"/>
  <c r="K85" i="15"/>
  <c r="K5" i="20"/>
  <c r="O158"/>
  <c r="K108" i="23"/>
  <c r="N153" i="26"/>
  <c r="L142" i="3"/>
  <c r="M127" i="31"/>
  <c r="L122" i="27"/>
  <c r="N46" i="3"/>
  <c r="M89" i="5"/>
  <c r="N178" i="22"/>
  <c r="O146" i="12"/>
  <c r="K33" i="28"/>
  <c r="K30" i="24"/>
  <c r="N73" i="16"/>
  <c r="K180" i="11"/>
  <c r="L16" i="1"/>
  <c r="N126" i="3"/>
  <c r="K10" i="22"/>
  <c r="N11" i="23"/>
  <c r="O143" i="22"/>
  <c r="O38" i="30"/>
  <c r="N153" i="5"/>
  <c r="K18" i="2"/>
  <c r="O99" i="29"/>
  <c r="K47" i="9"/>
  <c r="N24" i="28"/>
  <c r="O80" i="10"/>
  <c r="M59" i="3"/>
  <c r="O179" i="15"/>
  <c r="L10" i="2"/>
  <c r="N99" i="23"/>
  <c r="O86" i="6"/>
  <c r="K34" i="23"/>
  <c r="M118" i="16"/>
  <c r="L159" i="23"/>
  <c r="K9" i="30"/>
  <c r="L183" i="12"/>
  <c r="M78" i="29"/>
  <c r="N60" i="20"/>
  <c r="L6" i="32"/>
  <c r="M162" i="18"/>
  <c r="O49" i="31"/>
  <c r="N88" i="20"/>
  <c r="K184" i="15"/>
  <c r="M145" i="29"/>
  <c r="N87" i="27"/>
  <c r="L122" i="3"/>
  <c r="M82" i="25"/>
  <c r="O87" i="17"/>
  <c r="M184" i="1"/>
  <c r="M129" i="25"/>
  <c r="L168" i="29"/>
  <c r="K65" i="33"/>
  <c r="L51" i="18"/>
  <c r="L33" i="27"/>
  <c r="M35"/>
  <c r="O165" i="22"/>
  <c r="L148" i="9"/>
  <c r="O155" i="30"/>
  <c r="O112" i="9"/>
  <c r="L71" i="10"/>
  <c r="M71" i="32"/>
  <c r="K98" i="28"/>
  <c r="K72" i="17"/>
  <c r="K95" i="19"/>
  <c r="L116"/>
  <c r="M76" i="23"/>
  <c r="M36" i="19"/>
  <c r="M25" i="2"/>
  <c r="O6" i="1"/>
  <c r="M130" i="25"/>
  <c r="N78" i="15"/>
  <c r="M127" i="12"/>
  <c r="L116" i="3"/>
  <c r="M40" i="27"/>
  <c r="O132" i="16"/>
  <c r="L101" i="9"/>
  <c r="L87" i="25"/>
  <c r="L35" i="1"/>
  <c r="M68" i="31"/>
  <c r="M161" i="5"/>
  <c r="L39" i="6"/>
  <c r="M72" i="26"/>
  <c r="N63" i="11"/>
  <c r="N50" i="22"/>
  <c r="N93" i="2"/>
  <c r="L64" i="31"/>
  <c r="L54" i="26"/>
  <c r="O185" i="33"/>
  <c r="O118" i="20"/>
  <c r="L77" i="24"/>
  <c r="N57" i="1"/>
  <c r="M5" i="16"/>
  <c r="K39" i="6"/>
  <c r="N160" i="3"/>
  <c r="N172" i="11"/>
  <c r="N178" i="25"/>
  <c r="M101" i="12"/>
  <c r="O38" i="29"/>
  <c r="M166" i="24"/>
  <c r="L56" i="4"/>
  <c r="K71"/>
  <c r="N184" i="19"/>
  <c r="N101" i="6"/>
  <c r="O131" i="20"/>
  <c r="O45" i="3"/>
  <c r="O177" i="31"/>
  <c r="N50" i="24"/>
  <c r="N16" i="19"/>
  <c r="K133" i="15"/>
  <c r="O109" i="19"/>
  <c r="N132" i="3"/>
  <c r="N134" i="25"/>
  <c r="N99" i="24"/>
  <c r="M127" i="18"/>
  <c r="L39" i="31"/>
  <c r="L53" i="24"/>
  <c r="O86" i="17"/>
  <c r="K147" i="30"/>
  <c r="M114" i="21"/>
  <c r="L107" i="24"/>
  <c r="K44" i="30"/>
  <c r="O123" i="24"/>
  <c r="L102" i="1"/>
  <c r="M143" i="26"/>
  <c r="K140" i="29"/>
  <c r="L155"/>
  <c r="N43" i="4"/>
  <c r="N15" i="15"/>
  <c r="L109" i="16"/>
  <c r="N47" i="33"/>
  <c r="K140" i="23"/>
  <c r="K113" i="9"/>
  <c r="O35" i="29"/>
  <c r="O154"/>
  <c r="K20" i="15"/>
  <c r="K131" i="27"/>
  <c r="K130" i="6"/>
  <c r="K128" i="19"/>
  <c r="O57" i="10"/>
  <c r="N153" i="20"/>
  <c r="K139" i="2"/>
  <c r="M107" i="32"/>
  <c r="M13" i="25"/>
  <c r="K14" i="19"/>
  <c r="O85" i="32"/>
  <c r="N97" i="28"/>
  <c r="M72" i="15"/>
  <c r="N25" i="27"/>
  <c r="N148" i="3"/>
  <c r="L159" i="27"/>
  <c r="M130" i="12"/>
  <c r="L148" i="17"/>
  <c r="K14" i="26"/>
  <c r="N44" i="6"/>
  <c r="L37" i="2"/>
  <c r="K120" i="28"/>
  <c r="O131" i="5"/>
  <c r="N165" i="26"/>
  <c r="O148" i="28"/>
  <c r="O11" i="22"/>
  <c r="M131" i="29"/>
  <c r="O8" i="25"/>
  <c r="O101" i="26"/>
  <c r="K13" i="19"/>
  <c r="O114" i="1"/>
  <c r="K13" i="32"/>
  <c r="K38" i="20"/>
  <c r="O5" i="19"/>
  <c r="L66" i="32"/>
  <c r="K53" i="26"/>
  <c r="K11" i="24"/>
  <c r="L73" i="18"/>
  <c r="O119" i="32"/>
  <c r="N126" i="1"/>
  <c r="M101" i="29"/>
  <c r="N145"/>
  <c r="N151" i="6"/>
  <c r="M72" i="4"/>
  <c r="K28" i="5"/>
  <c r="L134" i="15"/>
  <c r="N33" i="31"/>
  <c r="L149" i="2"/>
  <c r="N180" i="9"/>
  <c r="L172" i="29"/>
  <c r="N45"/>
  <c r="K68" i="32"/>
  <c r="M98" i="19"/>
  <c r="L40" i="20"/>
  <c r="N179" i="24"/>
  <c r="K113" i="25"/>
  <c r="L74" i="27"/>
  <c r="M113" i="9"/>
  <c r="K5" i="23"/>
  <c r="L77" i="31"/>
  <c r="O93"/>
  <c r="K11" i="17"/>
  <c r="N64" i="6"/>
  <c r="K93" i="3"/>
  <c r="O128" i="2"/>
  <c r="K153" i="26"/>
  <c r="L101" i="17"/>
  <c r="M64"/>
  <c r="O98" i="29"/>
  <c r="N167" i="9"/>
  <c r="K91" i="18"/>
  <c r="N10" i="20"/>
  <c r="N84" i="23"/>
  <c r="M80" i="9"/>
  <c r="L109" i="27"/>
  <c r="L18" i="22"/>
  <c r="L133" i="18"/>
  <c r="O61" i="12"/>
  <c r="K54" i="25"/>
  <c r="L130" i="10"/>
  <c r="O167" i="18"/>
  <c r="L9" i="25"/>
  <c r="K153" i="9"/>
  <c r="L122" i="10"/>
  <c r="O39" i="5"/>
  <c r="N42" i="23"/>
  <c r="O56" i="11"/>
  <c r="L61" i="31"/>
  <c r="N159" i="28"/>
  <c r="K81" i="15"/>
  <c r="N53" i="30"/>
  <c r="L4" i="19"/>
  <c r="N92" i="32"/>
  <c r="L100" i="33"/>
  <c r="O33" i="32"/>
  <c r="N93" i="28"/>
  <c r="O176" i="5"/>
  <c r="O10" i="12"/>
  <c r="K139" i="27"/>
  <c r="K49" i="19"/>
  <c r="N139"/>
  <c r="M170" i="24"/>
  <c r="O84" i="21"/>
  <c r="M153"/>
  <c r="L161" i="23"/>
  <c r="K54"/>
  <c r="K120" i="21"/>
  <c r="M111" i="5"/>
  <c r="L97" i="27"/>
  <c r="O176" i="15"/>
  <c r="K51" i="10"/>
  <c r="L33" i="12"/>
  <c r="M29" i="25"/>
  <c r="O106" i="10"/>
  <c r="M132" i="21"/>
  <c r="M92" i="29"/>
  <c r="M123" i="4"/>
  <c r="O179" i="19"/>
  <c r="N184" i="5"/>
  <c r="N84" i="11"/>
  <c r="K72" i="31"/>
  <c r="K137" i="24"/>
  <c r="K150" i="33"/>
  <c r="L154" i="30"/>
  <c r="O69" i="5"/>
  <c r="M80" i="22"/>
  <c r="L165" i="18"/>
  <c r="O84" i="23"/>
  <c r="K152" i="31"/>
  <c r="O109" i="22"/>
  <c r="N82" i="20"/>
  <c r="N74" i="31"/>
  <c r="O64" i="24"/>
  <c r="K154" i="9"/>
  <c r="O177" i="22"/>
  <c r="N59" i="6"/>
  <c r="N49" i="19"/>
  <c r="N109" i="27"/>
  <c r="K141" i="19"/>
  <c r="N67" i="22"/>
  <c r="K95" i="27"/>
  <c r="M185" i="23"/>
  <c r="O81" i="29"/>
  <c r="M46" i="17"/>
  <c r="O6" i="11"/>
  <c r="N31" i="27"/>
  <c r="N31" i="3"/>
  <c r="N185" i="17"/>
  <c r="M115" i="3"/>
  <c r="K176" i="32"/>
  <c r="K80" i="18"/>
  <c r="K162"/>
  <c r="M149" i="6"/>
  <c r="K94" i="19"/>
  <c r="K176" i="22"/>
  <c r="K36" i="11"/>
  <c r="K146" i="9"/>
  <c r="N71" i="5"/>
  <c r="L52" i="17"/>
  <c r="M178" i="6"/>
  <c r="N28" i="30"/>
  <c r="O185" i="6"/>
  <c r="M73" i="28"/>
  <c r="M94" i="10"/>
  <c r="K120" i="4"/>
  <c r="O49" i="17"/>
  <c r="K121" i="22"/>
  <c r="L61" i="2"/>
  <c r="K183" i="15"/>
  <c r="K29" i="19"/>
  <c r="L77" i="22"/>
  <c r="L112" i="26"/>
  <c r="M174" i="22"/>
  <c r="N149"/>
  <c r="M108" i="32"/>
  <c r="O52" i="21"/>
  <c r="K109" i="12"/>
  <c r="N100" i="31"/>
  <c r="L117" i="23"/>
  <c r="M89" i="1"/>
  <c r="N15"/>
  <c r="L168" i="6"/>
  <c r="K160" i="31"/>
  <c r="N30" i="25"/>
  <c r="L88" i="3"/>
  <c r="L161" i="22"/>
  <c r="N61" i="3"/>
  <c r="N10" i="2"/>
  <c r="K107" i="3"/>
  <c r="K39" i="16"/>
  <c r="K126" i="6"/>
  <c r="K51" i="11"/>
  <c r="N52" i="15"/>
  <c r="L30" i="23"/>
  <c r="N123" i="11"/>
  <c r="N172" i="15"/>
  <c r="N76" i="30"/>
  <c r="N79" i="16"/>
  <c r="O15" i="18"/>
  <c r="M178" i="31"/>
  <c r="O185" i="17"/>
  <c r="L54" i="32"/>
  <c r="N29" i="24"/>
  <c r="O174" i="27"/>
  <c r="N119" i="23"/>
  <c r="N95" i="22"/>
  <c r="K67" i="25"/>
  <c r="L80" i="27"/>
  <c r="N9"/>
  <c r="L174" i="18"/>
  <c r="M116" i="33"/>
  <c r="L58" i="25"/>
  <c r="O143" i="4"/>
  <c r="O147" i="1"/>
  <c r="L16" i="12"/>
  <c r="L144" i="19"/>
  <c r="N95" i="30"/>
  <c r="N145" i="27"/>
  <c r="M151" i="15"/>
  <c r="N115" i="9"/>
  <c r="L53" i="20"/>
  <c r="L116" i="5"/>
  <c r="N174" i="15"/>
  <c r="K118" i="29"/>
  <c r="M25"/>
  <c r="K179" i="1"/>
  <c r="M35" i="28"/>
  <c r="O118" i="17"/>
  <c r="K152" i="23"/>
  <c r="L109" i="5"/>
  <c r="O52" i="6"/>
  <c r="L68" i="11"/>
  <c r="O57" i="28"/>
  <c r="M9" i="31"/>
  <c r="N94" i="30"/>
  <c r="O99" i="26"/>
  <c r="N74" i="9"/>
  <c r="M56" i="4"/>
  <c r="K140" i="10"/>
  <c r="L20" i="31"/>
  <c r="N49" i="15"/>
  <c r="L102" i="27"/>
  <c r="L147" i="25"/>
  <c r="N16" i="32"/>
  <c r="L23" i="20"/>
  <c r="N68" i="12"/>
  <c r="M167" i="17"/>
  <c r="N61" i="12"/>
  <c r="K143" i="22"/>
  <c r="L6" i="25"/>
  <c r="K185" i="27"/>
  <c r="K159" i="3"/>
  <c r="M54" i="4"/>
  <c r="M177" i="18"/>
  <c r="N118" i="3"/>
  <c r="N16" i="21"/>
  <c r="N87" i="30"/>
  <c r="K40" i="2"/>
  <c r="N115" i="17"/>
  <c r="L157" i="25"/>
  <c r="O18" i="23"/>
  <c r="K147"/>
  <c r="N147" i="15"/>
  <c r="N182" i="5"/>
  <c r="K166" i="27"/>
  <c r="L160" i="9"/>
  <c r="K145" i="28"/>
  <c r="O141" i="27"/>
  <c r="K68" i="19"/>
  <c r="M61"/>
  <c r="M28"/>
  <c r="O77" i="5"/>
  <c r="O122" i="27"/>
  <c r="N65" i="6"/>
  <c r="L13" i="25"/>
  <c r="N113" i="22"/>
  <c r="K146" i="19"/>
  <c r="K160" i="30"/>
  <c r="L163" i="19"/>
  <c r="M68" i="1"/>
  <c r="N101" i="22"/>
  <c r="O106" i="29"/>
  <c r="O8" i="26"/>
  <c r="O101" i="15"/>
  <c r="L160" i="29"/>
  <c r="K115" i="23"/>
  <c r="N52" i="17"/>
  <c r="O82" i="10"/>
  <c r="O169" i="4"/>
  <c r="O58" i="9"/>
  <c r="M76" i="19"/>
  <c r="M122" i="9"/>
  <c r="K173" i="30"/>
  <c r="O173" i="15"/>
  <c r="K69" i="11"/>
  <c r="L159" i="19"/>
  <c r="N118" i="4"/>
  <c r="O128" i="9"/>
  <c r="N161" i="18"/>
  <c r="L98" i="30"/>
  <c r="M145" i="1"/>
  <c r="K9" i="22"/>
  <c r="K5" i="1"/>
  <c r="M14" i="32"/>
  <c r="O79" i="20"/>
  <c r="M64" i="10"/>
  <c r="K73" i="16"/>
  <c r="M159" i="1"/>
  <c r="M109" i="10"/>
  <c r="O122" i="31"/>
  <c r="K33" i="24"/>
  <c r="O20" i="16"/>
  <c r="L53" i="31"/>
  <c r="K11" i="15"/>
  <c r="L178" i="1"/>
  <c r="O15" i="23"/>
  <c r="N121" i="20"/>
  <c r="M136" i="30"/>
  <c r="M43" i="26"/>
  <c r="M126" i="2"/>
  <c r="K110" i="31"/>
  <c r="L111" i="15"/>
  <c r="L163" i="28"/>
  <c r="L68" i="20"/>
  <c r="N100" i="19"/>
  <c r="L184" i="1"/>
  <c r="O125" i="18"/>
  <c r="K132" i="26"/>
  <c r="K120" i="1"/>
  <c r="K125" i="21"/>
  <c r="K26" i="15"/>
  <c r="L179" i="11"/>
  <c r="M14" i="24"/>
  <c r="M25" i="4"/>
  <c r="O51" i="31"/>
  <c r="N93" i="12"/>
  <c r="L18"/>
  <c r="M33" i="17"/>
  <c r="K93" i="4"/>
  <c r="O128" i="10"/>
  <c r="L140" i="19"/>
  <c r="L52" i="15"/>
  <c r="K39" i="9"/>
  <c r="K75" i="5"/>
  <c r="M95" i="20"/>
  <c r="L75" i="16"/>
  <c r="M145" i="21"/>
  <c r="M46" i="2"/>
  <c r="M152" i="29"/>
  <c r="K91" i="26"/>
  <c r="N99" i="6"/>
  <c r="N131" i="11"/>
  <c r="M61" i="10"/>
  <c r="L26" i="9"/>
  <c r="L167" i="32"/>
  <c r="N44" i="11"/>
  <c r="M72" i="23"/>
  <c r="M161" i="32"/>
  <c r="N106" i="27"/>
  <c r="O119" i="12"/>
  <c r="O147" i="22"/>
  <c r="O25" i="31"/>
  <c r="L98" i="23"/>
  <c r="K53" i="28"/>
  <c r="L88" i="16"/>
  <c r="O74" i="19"/>
  <c r="M29" i="31"/>
  <c r="N97" i="19"/>
  <c r="K45" i="22"/>
  <c r="O85" i="29"/>
  <c r="O3" i="15"/>
  <c r="M82" i="23"/>
  <c r="L133" i="33"/>
  <c r="O154" i="9"/>
  <c r="N53" i="28"/>
  <c r="N52" i="30"/>
  <c r="K73" i="17"/>
  <c r="O107" i="19"/>
  <c r="O71" i="11"/>
  <c r="K38" i="16"/>
  <c r="N82" i="10"/>
  <c r="O36" i="15"/>
  <c r="O97" i="30"/>
  <c r="M123" i="27"/>
  <c r="K84" i="17"/>
  <c r="M65" i="15"/>
  <c r="O26" i="30"/>
  <c r="L172" i="31"/>
  <c r="L116" i="26"/>
  <c r="O100" i="6"/>
  <c r="L71" i="9"/>
  <c r="O52" i="11"/>
  <c r="N100" i="32"/>
  <c r="O82" i="5"/>
  <c r="K13" i="9"/>
  <c r="M121" i="11"/>
  <c r="L31" i="1"/>
  <c r="K152" i="32"/>
  <c r="N140" i="20"/>
  <c r="L57" i="28"/>
  <c r="N11" i="31"/>
  <c r="M147" i="1"/>
  <c r="N113" i="17"/>
  <c r="O76" i="25"/>
  <c r="N153" i="21"/>
  <c r="N113" i="19"/>
  <c r="O29" i="30"/>
  <c r="M140" i="4"/>
  <c r="K80" i="15"/>
  <c r="N96" i="28"/>
  <c r="N114" i="26"/>
  <c r="O120" i="11"/>
  <c r="K106" i="25"/>
  <c r="N182" i="20"/>
  <c r="L80" i="17"/>
  <c r="K183" i="30"/>
  <c r="L79" i="15"/>
  <c r="N9" i="5"/>
  <c r="L170" i="19"/>
  <c r="L42" i="5"/>
  <c r="L60" i="16"/>
  <c r="O127" i="31"/>
  <c r="M106" i="15"/>
  <c r="M66" i="26"/>
  <c r="K18" i="28"/>
  <c r="K107" i="29"/>
  <c r="L92" i="27"/>
  <c r="K11" i="16"/>
  <c r="L111" i="6"/>
  <c r="M4" i="19"/>
  <c r="M99" i="5"/>
  <c r="K39" i="4"/>
  <c r="O49" i="1"/>
  <c r="O116" i="3"/>
  <c r="M134" i="4"/>
  <c r="N95" i="2"/>
  <c r="N153" i="31"/>
  <c r="K99" i="29"/>
  <c r="L34" i="11"/>
  <c r="O139" i="12"/>
  <c r="L14" i="26"/>
  <c r="L126"/>
  <c r="M82" i="5"/>
  <c r="N126" i="17"/>
  <c r="M120" i="28"/>
  <c r="N46" i="1"/>
  <c r="O109"/>
  <c r="N15" i="11"/>
  <c r="L171" i="4"/>
  <c r="L49" i="31"/>
  <c r="M75" i="33"/>
  <c r="O25" i="16"/>
  <c r="K161" i="25"/>
  <c r="O139" i="28"/>
  <c r="O77" i="1"/>
  <c r="N112" i="19"/>
  <c r="M10"/>
  <c r="O114" i="10"/>
  <c r="O93" i="25"/>
  <c r="L112" i="12"/>
  <c r="M181" i="31"/>
  <c r="L155" i="21"/>
  <c r="L158" i="19"/>
  <c r="M128" i="16"/>
  <c r="N100" i="29"/>
  <c r="K146" i="26"/>
  <c r="N142" i="1"/>
  <c r="K21" i="18"/>
  <c r="L157" i="17"/>
  <c r="N11" i="4"/>
  <c r="K78" i="25"/>
  <c r="M131" i="28"/>
  <c r="L158" i="18"/>
  <c r="M168" i="17"/>
  <c r="N171" i="24"/>
  <c r="M75" i="27"/>
  <c r="M99" i="4"/>
  <c r="N51" i="28"/>
  <c r="K120" i="31"/>
  <c r="O16" i="10"/>
  <c r="K108" i="16"/>
  <c r="N142" i="4"/>
  <c r="K181" i="9"/>
  <c r="O120" i="28"/>
  <c r="K167" i="6"/>
  <c r="K180" i="26"/>
  <c r="N24" i="16"/>
  <c r="N94" i="22"/>
  <c r="O171" i="29"/>
  <c r="N92" i="6"/>
  <c r="N155"/>
  <c r="M47" i="30"/>
  <c r="M72" i="2"/>
  <c r="K177" i="20"/>
  <c r="O75" i="16"/>
  <c r="O85" i="28"/>
  <c r="L34" i="27"/>
  <c r="M178" i="1"/>
  <c r="O95" i="4"/>
  <c r="L51" i="10"/>
  <c r="N52" i="33"/>
  <c r="K19" i="10"/>
  <c r="K148" i="30"/>
  <c r="N157" i="15"/>
  <c r="K110" i="21"/>
  <c r="M23" i="25"/>
  <c r="K183" i="10"/>
  <c r="K76" i="29"/>
  <c r="O116" i="16"/>
  <c r="K38" i="9"/>
  <c r="L117" i="26"/>
  <c r="N173" i="27"/>
  <c r="O59" i="15"/>
  <c r="K154"/>
  <c r="K81" i="22"/>
  <c r="M98" i="28"/>
  <c r="L119" i="33"/>
  <c r="L110"/>
  <c r="O66" i="27"/>
  <c r="O73" i="5"/>
  <c r="N54" i="12"/>
  <c r="K36" i="1"/>
  <c r="O53" i="32"/>
  <c r="M132" i="15"/>
  <c r="O148" i="17"/>
  <c r="L56" i="9"/>
  <c r="O67" i="6"/>
  <c r="L161" i="25"/>
  <c r="N140" i="21"/>
  <c r="L72" i="16"/>
  <c r="K131" i="17"/>
  <c r="L31" i="19"/>
  <c r="M21" i="4"/>
  <c r="N74" i="15"/>
  <c r="O23" i="28"/>
  <c r="K174" i="18"/>
  <c r="M16" i="33"/>
  <c r="K157" i="27"/>
  <c r="O61" i="17"/>
  <c r="M21" i="10"/>
  <c r="M11" i="4"/>
  <c r="L71" i="17"/>
  <c r="K95" i="15"/>
  <c r="K36" i="10"/>
  <c r="M9" i="25"/>
  <c r="N144" i="1"/>
  <c r="L135" i="3"/>
  <c r="N42" i="9"/>
  <c r="K93" i="32"/>
  <c r="M98" i="31"/>
  <c r="L64" i="17"/>
  <c r="M80" i="27"/>
  <c r="O165" i="1"/>
  <c r="N153"/>
  <c r="L19" i="9"/>
  <c r="M116" i="30"/>
  <c r="M20" i="23"/>
  <c r="M59" i="2"/>
  <c r="N169" i="32"/>
  <c r="L116" i="28"/>
  <c r="O157" i="25"/>
  <c r="M30" i="9"/>
  <c r="M68" i="22"/>
  <c r="N39" i="32"/>
  <c r="O8" i="6"/>
  <c r="N19" i="23"/>
  <c r="L63" i="27"/>
  <c r="K36" i="9"/>
  <c r="O82" i="3"/>
  <c r="M16" i="1"/>
  <c r="N122" i="16"/>
  <c r="O46" i="19"/>
  <c r="N84" i="28"/>
  <c r="M130" i="19"/>
  <c r="K167" i="11"/>
  <c r="O176" i="29"/>
  <c r="M44" i="3"/>
  <c r="M154" i="23"/>
  <c r="N76" i="10"/>
  <c r="N86" i="30"/>
  <c r="L158" i="32"/>
  <c r="N61" i="18"/>
  <c r="L132" i="32"/>
  <c r="N115" i="4"/>
  <c r="L109" i="24"/>
  <c r="K58" i="9"/>
  <c r="N145" i="25"/>
  <c r="K116" i="15"/>
  <c r="L152" i="32"/>
  <c r="K181" i="5"/>
  <c r="O33" i="25"/>
  <c r="N23" i="22"/>
  <c r="K6" i="11"/>
  <c r="M65" i="5"/>
  <c r="N13" i="33"/>
  <c r="K182" i="16"/>
  <c r="N181" i="25"/>
  <c r="M126" i="23"/>
  <c r="O30" i="30"/>
  <c r="O18" i="21"/>
  <c r="N177" i="10"/>
  <c r="K179" i="31"/>
  <c r="L42" i="16"/>
  <c r="L68" i="15"/>
  <c r="O36" i="31"/>
  <c r="N84" i="21"/>
  <c r="O170" i="18"/>
  <c r="O77" i="31"/>
  <c r="M6" i="23"/>
  <c r="O92" i="3"/>
  <c r="O18" i="27"/>
  <c r="N102" i="11"/>
  <c r="L72" i="20"/>
  <c r="M183" i="5"/>
  <c r="O67" i="4"/>
  <c r="N19"/>
  <c r="M178" i="30"/>
  <c r="L37" i="24"/>
  <c r="N130" i="10"/>
  <c r="M59" i="1"/>
  <c r="O42" i="3"/>
  <c r="L76" i="30"/>
  <c r="K170"/>
  <c r="M176" i="3"/>
  <c r="N140"/>
  <c r="M152" i="10"/>
  <c r="N66" i="6"/>
  <c r="K117" i="19"/>
  <c r="M141" i="11"/>
  <c r="N60" i="28"/>
  <c r="L107" i="3"/>
  <c r="L165" i="9"/>
  <c r="O168" i="1"/>
  <c r="K36" i="2"/>
  <c r="K78" i="26"/>
  <c r="N100" i="4"/>
  <c r="O111" i="31"/>
  <c r="L73" i="10"/>
  <c r="L178" i="29"/>
  <c r="N40" i="17"/>
  <c r="N82" i="22"/>
  <c r="N47" i="3"/>
  <c r="L142" i="16"/>
  <c r="K153" i="25"/>
  <c r="K168" i="17"/>
  <c r="O79" i="15"/>
  <c r="N61" i="16"/>
  <c r="M53" i="22"/>
  <c r="L165" i="26"/>
  <c r="K113" i="29"/>
  <c r="L137" i="28"/>
  <c r="K110" i="16"/>
  <c r="O137" i="3"/>
  <c r="K171" i="5"/>
  <c r="K166" i="32"/>
  <c r="O11" i="31"/>
  <c r="L82" i="5"/>
  <c r="L139" i="27"/>
  <c r="N160" i="32"/>
  <c r="N5" i="11"/>
  <c r="M184" i="15"/>
  <c r="O154" i="30"/>
  <c r="M6" i="20"/>
  <c r="K131" i="12"/>
  <c r="K118" i="1"/>
  <c r="N3" i="30"/>
  <c r="M160" i="9"/>
  <c r="M119" i="1"/>
  <c r="L171" i="15"/>
  <c r="N63" i="10"/>
  <c r="N56" i="15"/>
  <c r="K143" i="33"/>
  <c r="L88" i="6"/>
  <c r="N23" i="29"/>
  <c r="L20" i="20"/>
  <c r="O157" i="9"/>
  <c r="O16" i="23"/>
  <c r="M93" i="1"/>
  <c r="L112" i="29"/>
  <c r="K100" i="5"/>
  <c r="O157" i="18"/>
  <c r="N73" i="19"/>
  <c r="L40" i="28"/>
  <c r="K184" i="9"/>
  <c r="L25" i="16"/>
  <c r="M168" i="33"/>
  <c r="N61" i="22"/>
  <c r="K135"/>
  <c r="M119" i="10"/>
  <c r="M96" i="23"/>
  <c r="N88" i="15"/>
  <c r="K10"/>
  <c r="L111" i="17"/>
  <c r="N5" i="9"/>
  <c r="L167" i="3"/>
  <c r="N144" i="17"/>
  <c r="K102" i="3"/>
  <c r="O118" i="22"/>
  <c r="K174" i="4"/>
  <c r="M172" i="2"/>
  <c r="L71" i="33"/>
  <c r="K129" i="9"/>
  <c r="M140" i="31"/>
  <c r="O3" i="3"/>
  <c r="L160" i="17"/>
  <c r="N26" i="15"/>
  <c r="K72" i="4"/>
  <c r="K95" i="25"/>
  <c r="M129" i="1"/>
  <c r="O162" i="23"/>
  <c r="M115" i="11"/>
  <c r="O39" i="9"/>
  <c r="N176" i="33"/>
  <c r="O65" i="16"/>
  <c r="M133" i="27"/>
  <c r="O167" i="5"/>
  <c r="L46" i="17"/>
  <c r="O160" i="9"/>
  <c r="N64" i="22"/>
  <c r="K99" i="19"/>
  <c r="N150" i="12"/>
  <c r="K64" i="23"/>
  <c r="L74" i="15"/>
  <c r="L120" i="3"/>
  <c r="M23" i="22"/>
  <c r="M53" i="10"/>
  <c r="N40" i="30"/>
  <c r="N110" i="5"/>
  <c r="M86" i="31"/>
  <c r="L87" i="15"/>
  <c r="O6" i="32"/>
  <c r="K102"/>
  <c r="N142"/>
  <c r="N16" i="3"/>
  <c r="O171" i="6"/>
  <c r="O76" i="5"/>
  <c r="K74" i="15"/>
  <c r="O11" i="9"/>
  <c r="L177" i="15"/>
  <c r="L93" i="3"/>
  <c r="K60" i="16"/>
  <c r="O65" i="22"/>
  <c r="O31" i="19"/>
  <c r="M25" i="1"/>
  <c r="N66" i="17"/>
  <c r="M37" i="9"/>
  <c r="N30" i="4"/>
  <c r="O44" i="11"/>
  <c r="K43" i="15"/>
  <c r="K8" i="29"/>
  <c r="L133" i="26"/>
  <c r="K144" i="29"/>
  <c r="K102" i="16"/>
  <c r="M37" i="31"/>
  <c r="L151" i="20"/>
  <c r="K19" i="22"/>
  <c r="O112" i="23"/>
  <c r="N94" i="19"/>
  <c r="M88" i="6"/>
  <c r="L139" i="9"/>
  <c r="N107" i="33"/>
  <c r="L101" i="23"/>
  <c r="N157" i="10"/>
  <c r="O170" i="32"/>
  <c r="M10" i="5"/>
  <c r="M154" i="18"/>
  <c r="O108" i="3"/>
  <c r="L24" i="1"/>
  <c r="N59" i="22"/>
  <c r="M36" i="6"/>
  <c r="N38" i="27"/>
  <c r="M10" i="16"/>
  <c r="K23" i="19"/>
  <c r="M43" i="3"/>
  <c r="K142" i="32"/>
  <c r="L49" i="1"/>
  <c r="M9" i="3"/>
  <c r="M118" i="23"/>
  <c r="L118"/>
  <c r="K56" i="19"/>
  <c r="L43" i="25"/>
  <c r="L78" i="32"/>
  <c r="N63"/>
  <c r="L69" i="31"/>
  <c r="N102" i="21"/>
  <c r="N47" i="15"/>
  <c r="N24" i="4"/>
  <c r="N143" i="2"/>
  <c r="O57"/>
  <c r="K115" i="30"/>
  <c r="N33" i="11"/>
  <c r="O5" i="6"/>
  <c r="K77" i="22"/>
  <c r="L134" i="4"/>
  <c r="K25" i="31"/>
  <c r="L155" i="28"/>
  <c r="O112" i="30"/>
  <c r="O143" i="31"/>
  <c r="M15" i="23"/>
  <c r="N6" i="11"/>
  <c r="M152" i="2"/>
  <c r="K80" i="10"/>
  <c r="N51" i="23"/>
  <c r="M171" i="17"/>
  <c r="N47" i="6"/>
  <c r="K35" i="29"/>
  <c r="O102" i="30"/>
  <c r="O157" i="10"/>
  <c r="M145" i="15"/>
  <c r="M167" i="32"/>
  <c r="O120" i="17"/>
  <c r="N50" i="19"/>
  <c r="N93" i="6"/>
  <c r="N114" i="3"/>
  <c r="O143" i="12"/>
  <c r="N18" i="18"/>
  <c r="M65" i="9"/>
  <c r="O132" i="20"/>
  <c r="O147" i="11"/>
  <c r="N38" i="3"/>
  <c r="L99" i="5"/>
  <c r="N77" i="21"/>
  <c r="K3" i="32"/>
  <c r="L170" i="24"/>
  <c r="L154" i="15"/>
  <c r="K50" i="29"/>
  <c r="K117" i="25"/>
  <c r="K54" i="18"/>
  <c r="L168" i="3"/>
  <c r="L132" i="30"/>
  <c r="M177" i="26"/>
  <c r="N179" i="29"/>
  <c r="N185" i="19"/>
  <c r="M141" i="3"/>
  <c r="M155" i="5"/>
  <c r="O155"/>
  <c r="M3" i="2"/>
  <c r="O117" i="5"/>
  <c r="N78" i="19"/>
  <c r="L169" i="16"/>
  <c r="L100" i="15"/>
  <c r="M59" i="23"/>
  <c r="M162" i="3"/>
  <c r="K73" i="23"/>
  <c r="O140" i="19"/>
  <c r="K177" i="21"/>
  <c r="O91" i="5"/>
  <c r="L120" i="11"/>
  <c r="L152" i="22"/>
  <c r="M3" i="23"/>
  <c r="M60" i="1"/>
  <c r="L24" i="31"/>
  <c r="N36" i="32"/>
  <c r="M126" i="25"/>
  <c r="M131" i="10"/>
  <c r="M77" i="6"/>
  <c r="M73" i="29"/>
  <c r="N44" i="24"/>
  <c r="N39" i="9"/>
  <c r="M3" i="32"/>
  <c r="L172" i="12"/>
  <c r="L95" i="17"/>
  <c r="O110" i="10"/>
  <c r="N57"/>
  <c r="K76" i="23"/>
  <c r="N50" i="17"/>
  <c r="M149" i="11"/>
  <c r="L147" i="9"/>
  <c r="L101" i="16"/>
  <c r="N23" i="27"/>
  <c r="O172" i="29"/>
  <c r="K95" i="5"/>
  <c r="N160" i="24"/>
  <c r="M165" i="23"/>
  <c r="L145" i="6"/>
  <c r="M149" i="16"/>
  <c r="N36" i="28"/>
  <c r="M43" i="2"/>
  <c r="L169" i="3"/>
  <c r="O45" i="31"/>
  <c r="N136" i="17"/>
  <c r="K72" i="12"/>
  <c r="L172" i="28"/>
  <c r="M8" i="9"/>
  <c r="L117" i="2"/>
  <c r="M18" i="18"/>
  <c r="M54" i="5"/>
  <c r="O60" i="3"/>
  <c r="K165" i="25"/>
  <c r="K49" i="30"/>
  <c r="L184" i="9"/>
  <c r="O139" i="6"/>
  <c r="N137" i="3"/>
  <c r="L130" i="27"/>
  <c r="N94" i="5"/>
  <c r="N34" i="30"/>
  <c r="L44" i="16"/>
  <c r="N109" i="18"/>
  <c r="K50" i="22"/>
  <c r="L46" i="5"/>
  <c r="O68" i="31"/>
  <c r="L49" i="16"/>
  <c r="K122" i="15"/>
  <c r="K49" i="28"/>
  <c r="N140" i="30"/>
  <c r="M80" i="5"/>
  <c r="K49" i="24"/>
  <c r="L29" i="17"/>
  <c r="M137" i="33"/>
  <c r="M102" i="15"/>
  <c r="K89" i="25"/>
  <c r="O149" i="3"/>
  <c r="M141" i="1"/>
  <c r="M97" i="22"/>
  <c r="M177" i="24"/>
  <c r="L99" i="30"/>
  <c r="M56" i="5"/>
  <c r="M185" i="33"/>
  <c r="M142" i="28"/>
  <c r="N127" i="3"/>
  <c r="K52" i="30"/>
  <c r="M123" i="9"/>
  <c r="M123" i="30"/>
  <c r="O9" i="9"/>
  <c r="N25" i="30"/>
  <c r="K9" i="31"/>
  <c r="K20" i="2"/>
  <c r="O58" i="5"/>
  <c r="K125" i="2"/>
  <c r="K167" i="30"/>
  <c r="O154" i="27"/>
  <c r="M101" i="23"/>
  <c r="K159" i="10"/>
  <c r="L47" i="3"/>
  <c r="L100" i="16"/>
  <c r="M56" i="10"/>
  <c r="K44" i="12"/>
  <c r="M121" i="1"/>
  <c r="K85" i="28"/>
  <c r="K169" i="23"/>
  <c r="L115" i="1"/>
  <c r="N65" i="5"/>
  <c r="N43" i="28"/>
  <c r="L75" i="22"/>
  <c r="K132" i="6"/>
  <c r="K126" i="22"/>
  <c r="O4" i="31"/>
  <c r="K45" i="17"/>
  <c r="M38" i="10"/>
  <c r="O112" i="32"/>
  <c r="L23" i="22"/>
  <c r="O108" i="15"/>
  <c r="M78" i="20"/>
  <c r="M78" i="23"/>
  <c r="M100" i="1"/>
  <c r="L131" i="22"/>
  <c r="L113" i="18"/>
  <c r="M92" i="30"/>
  <c r="M146" i="25"/>
  <c r="L151"/>
  <c r="O140" i="1"/>
  <c r="O183"/>
  <c r="L119" i="20"/>
  <c r="O166" i="17"/>
  <c r="L73" i="31"/>
  <c r="K141" i="9"/>
  <c r="K53" i="10"/>
  <c r="K40" i="18"/>
  <c r="K150" i="19"/>
  <c r="K118" i="30"/>
  <c r="K59" i="5"/>
  <c r="N182" i="9"/>
  <c r="L161" i="3"/>
  <c r="O88" i="17"/>
  <c r="O184" i="32"/>
  <c r="O78" i="31"/>
  <c r="M28" i="27"/>
  <c r="M114" i="6"/>
  <c r="L5" i="15"/>
  <c r="M147" i="28"/>
  <c r="N93" i="16"/>
  <c r="O82" i="9"/>
  <c r="L173" i="15"/>
  <c r="N178" i="31"/>
  <c r="N13" i="5"/>
  <c r="K43" i="33"/>
  <c r="O24" i="9"/>
  <c r="K25" i="10"/>
  <c r="K101" i="33"/>
  <c r="O78" i="19"/>
  <c r="N160" i="33"/>
  <c r="N136" i="26"/>
  <c r="L9" i="28"/>
  <c r="L162" i="17"/>
  <c r="L66" i="28"/>
  <c r="O57" i="3"/>
  <c r="N82" i="29"/>
  <c r="M4" i="26"/>
  <c r="L33" i="15"/>
  <c r="O102" i="4"/>
  <c r="K37" i="19"/>
  <c r="M15" i="20"/>
  <c r="M181" i="22"/>
  <c r="K50" i="17"/>
  <c r="M93" i="24"/>
  <c r="M44" i="9"/>
  <c r="M170" i="30"/>
  <c r="L149" i="17"/>
  <c r="M149"/>
  <c r="O169" i="26"/>
  <c r="L119" i="12"/>
  <c r="N115" i="11"/>
  <c r="K6" i="1"/>
  <c r="N77" i="20"/>
  <c r="M53" i="9"/>
  <c r="L87" i="11"/>
  <c r="M130" i="10"/>
  <c r="L89" i="16"/>
  <c r="M126" i="11"/>
  <c r="N167" i="16"/>
  <c r="L89" i="1"/>
  <c r="N35" i="9"/>
  <c r="L119" i="16"/>
  <c r="M129" i="33"/>
  <c r="O107" i="9"/>
  <c r="M159" i="22"/>
  <c r="O15" i="2"/>
  <c r="N9" i="22"/>
  <c r="K123" i="31"/>
  <c r="N30" i="1"/>
  <c r="L4" i="15"/>
  <c r="O8" i="3"/>
  <c r="N155" i="33"/>
  <c r="L30" i="1"/>
  <c r="O180" i="23"/>
  <c r="N36" i="9"/>
  <c r="N143" i="22"/>
  <c r="N35" i="31"/>
  <c r="L179" i="30"/>
  <c r="O107" i="18"/>
  <c r="M11" i="30"/>
  <c r="M86" i="6"/>
  <c r="K144" i="24"/>
  <c r="N115" i="31"/>
  <c r="O141" i="3"/>
  <c r="O76" i="17"/>
  <c r="K132" i="19"/>
  <c r="O3" i="31"/>
  <c r="K165" i="33"/>
  <c r="O161" i="22"/>
  <c r="L37" i="16"/>
  <c r="L75" i="12"/>
  <c r="M18" i="31"/>
  <c r="O47" i="30"/>
  <c r="O30" i="25"/>
  <c r="K161" i="3"/>
  <c r="L82" i="28"/>
  <c r="O91" i="18"/>
  <c r="M140" i="32"/>
  <c r="K182" i="4"/>
  <c r="N9" i="24"/>
  <c r="K65" i="6"/>
  <c r="L125"/>
  <c r="M171" i="12"/>
  <c r="O11" i="24"/>
  <c r="O116" i="19"/>
  <c r="L51" i="6"/>
  <c r="K177" i="26"/>
  <c r="K127" i="20"/>
  <c r="M4" i="1"/>
  <c r="K42" i="30"/>
  <c r="K127" i="31"/>
  <c r="M171" i="3"/>
  <c r="N11"/>
  <c r="L30" i="31"/>
  <c r="L141" i="25"/>
  <c r="O13" i="4"/>
  <c r="M134" i="24"/>
  <c r="N28" i="11"/>
  <c r="O183" i="9"/>
  <c r="O113" i="29"/>
  <c r="O95" i="23"/>
  <c r="L158" i="33"/>
  <c r="O178" i="18"/>
  <c r="M91" i="22"/>
  <c r="L76" i="31"/>
  <c r="K173" i="32"/>
  <c r="M159" i="24"/>
  <c r="O102" i="3"/>
  <c r="N176" i="15"/>
  <c r="O129" i="18"/>
  <c r="M54" i="9"/>
  <c r="L33" i="1"/>
  <c r="N170" i="10"/>
  <c r="N59" i="17"/>
  <c r="M108" i="24"/>
  <c r="K141" i="5"/>
  <c r="L81" i="31"/>
  <c r="O64" i="19"/>
  <c r="N77" i="27"/>
  <c r="M69" i="22"/>
  <c r="L74" i="24"/>
  <c r="L8" i="22"/>
  <c r="M135" i="12"/>
  <c r="M61" i="2"/>
  <c r="O128" i="27"/>
  <c r="M126" i="6"/>
  <c r="M135" i="1"/>
  <c r="O9" i="3"/>
  <c r="K110" i="27"/>
  <c r="K86" i="15"/>
  <c r="M172" i="21"/>
  <c r="K140" i="25"/>
  <c r="L118" i="28"/>
  <c r="M16" i="27"/>
  <c r="L176" i="30"/>
  <c r="K102" i="24"/>
  <c r="O44" i="25"/>
  <c r="O59" i="11"/>
  <c r="O130" i="1"/>
  <c r="N52" i="11"/>
  <c r="O106" i="1"/>
  <c r="L151" i="26"/>
  <c r="K64" i="9"/>
  <c r="M71" i="29"/>
  <c r="K160" i="10"/>
  <c r="K106" i="23"/>
  <c r="K34" i="17"/>
  <c r="K58" i="23"/>
  <c r="O158" i="18"/>
  <c r="M142" i="27"/>
  <c r="M21" i="2"/>
  <c r="N74" i="23"/>
  <c r="K168" i="27"/>
  <c r="K18" i="19"/>
  <c r="N144" i="28"/>
  <c r="N68" i="27"/>
  <c r="K185" i="17"/>
  <c r="K144" i="27"/>
  <c r="M46" i="25"/>
  <c r="N184" i="16"/>
  <c r="O43" i="22"/>
  <c r="N34" i="27"/>
  <c r="L179" i="19"/>
  <c r="M54" i="22"/>
  <c r="L82" i="3"/>
  <c r="M136" i="12"/>
  <c r="M108" i="3"/>
  <c r="O159" i="6"/>
  <c r="K49" i="2"/>
  <c r="O84" i="3"/>
  <c r="K147" i="19"/>
  <c r="K47" i="25"/>
  <c r="O11" i="4"/>
  <c r="M144" i="26"/>
  <c r="L68" i="3"/>
  <c r="K158" i="1"/>
  <c r="N123" i="27"/>
  <c r="N94" i="17"/>
  <c r="L36" i="24"/>
  <c r="K9" i="19"/>
  <c r="K183" i="9"/>
  <c r="M128" i="12"/>
  <c r="O182" i="31"/>
  <c r="N79" i="19"/>
  <c r="L147" i="1"/>
  <c r="L96" i="33"/>
  <c r="O108" i="9"/>
  <c r="L61" i="15"/>
  <c r="M29" i="1"/>
  <c r="K155" i="9"/>
  <c r="N96" i="2"/>
  <c r="N23" i="33"/>
  <c r="K155" i="21"/>
  <c r="O56" i="33"/>
  <c r="K126" i="15"/>
  <c r="M75" i="25"/>
  <c r="M155" i="6"/>
  <c r="M40" i="12"/>
  <c r="O171" i="19"/>
  <c r="N81"/>
  <c r="L116" i="30"/>
  <c r="O116" i="22"/>
  <c r="K140" i="30"/>
  <c r="M112" i="20"/>
  <c r="N68" i="4"/>
  <c r="M109" i="17"/>
  <c r="L56" i="24"/>
  <c r="K152" i="3"/>
  <c r="M31" i="11"/>
  <c r="O23" i="20"/>
  <c r="M35" i="16"/>
  <c r="N101" i="20"/>
  <c r="K35" i="12"/>
  <c r="L136" i="32"/>
  <c r="M65" i="33"/>
  <c r="O177" i="9"/>
  <c r="N159" i="25"/>
  <c r="M150" i="11"/>
  <c r="O43" i="9"/>
  <c r="M179" i="31"/>
  <c r="K123" i="25"/>
  <c r="L20" i="19"/>
  <c r="K5" i="22"/>
  <c r="K109" i="9"/>
  <c r="N94" i="3"/>
  <c r="O118" i="18"/>
  <c r="O149" i="9"/>
  <c r="M113" i="16"/>
  <c r="L72" i="17"/>
  <c r="L14" i="25"/>
  <c r="M113" i="10"/>
  <c r="M117" i="20"/>
  <c r="L176" i="2"/>
  <c r="K67" i="32"/>
  <c r="K97" i="24"/>
  <c r="M45" i="20"/>
  <c r="M94" i="5"/>
  <c r="M85" i="33"/>
  <c r="N54" i="19"/>
  <c r="K75" i="15"/>
  <c r="M76" i="11"/>
  <c r="O114" i="5"/>
  <c r="K26" i="28"/>
  <c r="N167" i="19"/>
  <c r="O180" i="6"/>
  <c r="O115" i="20"/>
  <c r="L177" i="10"/>
  <c r="L168" i="19"/>
  <c r="L21" i="29"/>
  <c r="O50" i="9"/>
  <c r="N80" i="27"/>
  <c r="M170" i="3"/>
  <c r="M117" i="16"/>
  <c r="O118" i="15"/>
  <c r="O31" i="29"/>
  <c r="M42" i="23"/>
  <c r="L39" i="9"/>
  <c r="O160" i="32"/>
  <c r="L172" i="15"/>
  <c r="M129" i="23"/>
  <c r="N145" i="26"/>
  <c r="O89" i="32"/>
  <c r="K89" i="30"/>
  <c r="O63" i="22"/>
  <c r="O142" i="24"/>
  <c r="L179" i="31"/>
  <c r="L163" i="16"/>
  <c r="O91" i="10"/>
  <c r="M100"/>
  <c r="N40"/>
  <c r="N81" i="22"/>
  <c r="O99" i="27"/>
  <c r="O148" i="11"/>
  <c r="L31" i="31"/>
  <c r="M6" i="32"/>
  <c r="N123" i="5"/>
  <c r="M180" i="22"/>
  <c r="M86" i="9"/>
  <c r="M130" i="26"/>
  <c r="O46" i="29"/>
  <c r="N9" i="6"/>
  <c r="L44" i="1"/>
  <c r="K133" i="21"/>
  <c r="K107" i="22"/>
  <c r="K179" i="15"/>
  <c r="L122"/>
  <c r="M87" i="27"/>
  <c r="K174" i="32"/>
  <c r="M66" i="23"/>
  <c r="M158" i="6"/>
  <c r="M46" i="15"/>
  <c r="N144" i="6"/>
  <c r="K123" i="9"/>
  <c r="K24" i="3"/>
  <c r="N93" i="33"/>
  <c r="M84" i="9"/>
  <c r="M144" i="5"/>
  <c r="K122" i="30"/>
  <c r="M114" i="5"/>
  <c r="O113" i="3"/>
  <c r="O50" i="18"/>
  <c r="K52" i="25"/>
  <c r="K86" i="20"/>
  <c r="M25" i="19"/>
  <c r="N170" i="17"/>
  <c r="L162" i="31"/>
  <c r="O135" i="18"/>
  <c r="K64" i="10"/>
  <c r="O16" i="25"/>
  <c r="K102" i="6"/>
  <c r="M153" i="3"/>
  <c r="K148" i="28"/>
  <c r="M159" i="32"/>
  <c r="K165" i="30"/>
  <c r="O6" i="15"/>
  <c r="O37" i="16"/>
  <c r="K117" i="4"/>
  <c r="M53" i="19"/>
  <c r="M38" i="27"/>
  <c r="O106" i="17"/>
  <c r="M31" i="32"/>
  <c r="K38" i="27"/>
  <c r="L115" i="11"/>
  <c r="M151" i="5"/>
  <c r="K87" i="11"/>
  <c r="L25" i="23"/>
  <c r="L61" i="6"/>
  <c r="O155" i="22"/>
  <c r="N131" i="19"/>
  <c r="K58" i="11"/>
  <c r="K111" i="5"/>
  <c r="N130" i="15"/>
  <c r="M130" i="32"/>
  <c r="M20" i="22"/>
  <c r="L79" i="18"/>
  <c r="M165" i="25"/>
  <c r="O51" i="9"/>
  <c r="M87" i="31"/>
  <c r="L8" i="20"/>
  <c r="M28" i="32"/>
  <c r="K29" i="1"/>
  <c r="O11" i="33"/>
  <c r="N15" i="6"/>
  <c r="K146" i="4"/>
  <c r="N6" i="19"/>
  <c r="O10"/>
  <c r="M112" i="15"/>
  <c r="N123" i="22"/>
  <c r="N119" i="17"/>
  <c r="O47" i="33"/>
  <c r="M42" i="1"/>
  <c r="O67" i="32"/>
  <c r="L85" i="6"/>
  <c r="L163" i="21"/>
  <c r="K147" i="22"/>
  <c r="L81" i="5"/>
  <c r="L35" i="11"/>
  <c r="N71" i="9"/>
  <c r="L57" i="6"/>
  <c r="O174" i="16"/>
  <c r="O52" i="15"/>
  <c r="M40" i="19"/>
  <c r="M130" i="3"/>
  <c r="O120" i="15"/>
  <c r="L183" i="29"/>
  <c r="N3" i="23"/>
  <c r="N167" i="12"/>
  <c r="N54" i="3"/>
  <c r="L65" i="22"/>
  <c r="M114" i="11"/>
  <c r="K79" i="1"/>
  <c r="O137" i="5"/>
  <c r="O132" i="6"/>
  <c r="O21" i="19"/>
  <c r="O40" i="31"/>
  <c r="L54"/>
  <c r="M141" i="18"/>
  <c r="O25" i="12"/>
  <c r="N171" i="18"/>
  <c r="O47" i="28"/>
  <c r="N112" i="6"/>
  <c r="O102" i="9"/>
  <c r="M81" i="10"/>
  <c r="O66" i="6"/>
  <c r="O80" i="16"/>
  <c r="K46" i="10"/>
  <c r="O75" i="15"/>
  <c r="L177" i="16"/>
  <c r="L89" i="30"/>
  <c r="O112" i="3"/>
  <c r="K110"/>
  <c r="N181" i="10"/>
  <c r="K19" i="33"/>
  <c r="O73" i="31"/>
  <c r="N119" i="21"/>
  <c r="N64" i="10"/>
  <c r="O162" i="24"/>
  <c r="M133" i="33"/>
  <c r="L121" i="5"/>
  <c r="K106" i="3"/>
  <c r="N91" i="30"/>
  <c r="O49" i="27"/>
  <c r="O127" i="19"/>
  <c r="L78" i="20"/>
  <c r="K145" i="25"/>
  <c r="L96" i="5"/>
  <c r="M154" i="33"/>
  <c r="K58" i="3"/>
  <c r="K135" i="10"/>
  <c r="L120" i="18"/>
  <c r="N163" i="16"/>
  <c r="L144" i="5"/>
  <c r="K16" i="19"/>
  <c r="M137"/>
  <c r="L180" i="10"/>
  <c r="M118" i="11"/>
  <c r="L33" i="32"/>
  <c r="M179" i="22"/>
  <c r="M114" i="3"/>
  <c r="N171" i="20"/>
  <c r="N36" i="4"/>
  <c r="K74" i="6"/>
  <c r="N115" i="16"/>
  <c r="M114" i="19"/>
  <c r="M100"/>
  <c r="L176" i="27"/>
  <c r="K137" i="26"/>
  <c r="K169" i="33"/>
  <c r="M118" i="17"/>
  <c r="N168" i="33"/>
  <c r="O136" i="18"/>
  <c r="N161" i="20"/>
  <c r="K113" i="10"/>
  <c r="L13" i="9"/>
  <c r="O43" i="12"/>
  <c r="K101" i="1"/>
  <c r="L168" i="23"/>
  <c r="M5" i="33"/>
  <c r="M131" i="19"/>
  <c r="N29" i="33"/>
  <c r="K143" i="32"/>
  <c r="M47" i="9"/>
  <c r="N88" i="4"/>
  <c r="L137" i="6"/>
  <c r="M75" i="20"/>
  <c r="L4" i="1"/>
  <c r="M153" i="29"/>
  <c r="N84" i="10"/>
  <c r="M183" i="20"/>
  <c r="K127" i="28"/>
  <c r="K75" i="27"/>
  <c r="K82" i="19"/>
  <c r="O3" i="16"/>
  <c r="M185" i="30"/>
  <c r="M126" i="12"/>
  <c r="N120" i="5"/>
  <c r="L30" i="20"/>
  <c r="L89" i="4"/>
  <c r="K76" i="30"/>
  <c r="L147" i="31"/>
  <c r="N139" i="11"/>
  <c r="K49" i="31"/>
  <c r="O93" i="19"/>
  <c r="L106" i="23"/>
  <c r="N59" i="2"/>
  <c r="K139" i="25"/>
  <c r="L76" i="22"/>
  <c r="N109" i="10"/>
  <c r="L59" i="3"/>
  <c r="L20" i="5"/>
  <c r="K66" i="27"/>
  <c r="M171" i="32"/>
  <c r="M92"/>
  <c r="M123" i="28"/>
  <c r="O91" i="33"/>
  <c r="K4" i="28"/>
  <c r="K123" i="5"/>
  <c r="K69" i="6"/>
  <c r="N38" i="5"/>
  <c r="O54" i="15"/>
  <c r="K99" i="1"/>
  <c r="O21" i="33"/>
  <c r="N137" i="4"/>
  <c r="O78" i="20"/>
  <c r="M117" i="25"/>
  <c r="N120" i="1"/>
  <c r="K149" i="24"/>
  <c r="M148" i="11"/>
  <c r="L68" i="5"/>
  <c r="L85" i="21"/>
  <c r="O67" i="3"/>
  <c r="M141" i="21"/>
  <c r="K176" i="26"/>
  <c r="N106" i="22"/>
  <c r="L77" i="28"/>
  <c r="L149" i="3"/>
  <c r="K115" i="10"/>
  <c r="L116" i="27"/>
  <c r="O57" i="17"/>
  <c r="M117" i="27"/>
  <c r="K166" i="21"/>
  <c r="N97" i="16"/>
  <c r="L98" i="11"/>
  <c r="O183" i="27"/>
  <c r="O60" i="5"/>
  <c r="K172" i="19"/>
  <c r="O25" i="25"/>
  <c r="L42" i="31"/>
  <c r="O63" i="5"/>
  <c r="O89" i="4"/>
  <c r="O59" i="23"/>
  <c r="O184" i="3"/>
  <c r="N172" i="19"/>
  <c r="K4" i="3"/>
  <c r="N174" i="33"/>
  <c r="K18" i="9"/>
  <c r="K183" i="33"/>
  <c r="O57" i="22"/>
  <c r="O162" i="16"/>
  <c r="K153" i="10"/>
  <c r="L110" i="5"/>
  <c r="K121" i="33"/>
  <c r="N173" i="1"/>
  <c r="O47" i="23"/>
  <c r="N68" i="21"/>
  <c r="O80" i="23"/>
  <c r="N5" i="20"/>
  <c r="K179" i="32"/>
  <c r="M45" i="22"/>
  <c r="K101" i="2"/>
  <c r="M159" i="6"/>
  <c r="M114" i="26"/>
  <c r="L165" i="27"/>
  <c r="K53" i="20"/>
  <c r="N109" i="32"/>
  <c r="L97" i="30"/>
  <c r="L93" i="27"/>
  <c r="L35" i="6"/>
  <c r="M166" i="5"/>
  <c r="O23" i="22"/>
  <c r="M160" i="32"/>
  <c r="N184"/>
  <c r="M181" i="18"/>
  <c r="O39" i="16"/>
  <c r="N172" i="23"/>
  <c r="M16" i="32"/>
  <c r="O171" i="18"/>
  <c r="L167" i="28"/>
  <c r="N63" i="20"/>
  <c r="K182" i="33"/>
  <c r="K127" i="27"/>
  <c r="M44" i="5"/>
  <c r="M102" i="25"/>
  <c r="L77" i="6"/>
  <c r="O36" i="1"/>
  <c r="L126" i="27"/>
  <c r="O13" i="19"/>
  <c r="M52" i="12"/>
  <c r="N132" i="10"/>
  <c r="K153" i="23"/>
  <c r="K180" i="30"/>
  <c r="L120" i="23"/>
  <c r="L152" i="15"/>
  <c r="M34" i="1"/>
  <c r="K106" i="22"/>
  <c r="L120" i="5"/>
  <c r="L147" i="19"/>
  <c r="O53" i="22"/>
  <c r="O145" i="6"/>
  <c r="N66" i="23"/>
  <c r="L147" i="21"/>
  <c r="L154" i="29"/>
  <c r="M181" i="5"/>
  <c r="O30" i="24"/>
  <c r="N50" i="1"/>
  <c r="L122" i="9"/>
  <c r="K183" i="2"/>
  <c r="K96" i="25"/>
  <c r="M57" i="3"/>
  <c r="K89" i="33"/>
  <c r="O154" i="2"/>
  <c r="O13" i="3"/>
  <c r="K91" i="17"/>
  <c r="K31" i="24"/>
  <c r="K20" i="23"/>
  <c r="K63" i="29"/>
  <c r="L19" i="1"/>
  <c r="K72" i="5"/>
  <c r="O126" i="15"/>
  <c r="O174" i="23"/>
  <c r="K174" i="25"/>
  <c r="L150" i="26"/>
  <c r="N98" i="32"/>
  <c r="L43" i="29"/>
  <c r="L56" i="25"/>
  <c r="L148" i="18"/>
  <c r="O20" i="6"/>
  <c r="N38" i="22"/>
  <c r="O172" i="1"/>
  <c r="L112" i="23"/>
  <c r="M79" i="27"/>
  <c r="K160" i="3"/>
  <c r="O173" i="9"/>
  <c r="L111" i="22"/>
  <c r="O34" i="32"/>
  <c r="M26" i="17"/>
  <c r="O153" i="5"/>
  <c r="M118" i="3"/>
  <c r="N23" i="1"/>
  <c r="M170" i="5"/>
  <c r="K134" i="22"/>
  <c r="M56" i="15"/>
  <c r="O116" i="28"/>
  <c r="N179" i="20"/>
  <c r="O182" i="25"/>
  <c r="N3"/>
  <c r="L5" i="30"/>
  <c r="O148" i="2"/>
  <c r="L140"/>
  <c r="L36" i="33"/>
  <c r="L131" i="32"/>
  <c r="L50" i="31"/>
  <c r="N150" i="10"/>
  <c r="L132" i="24"/>
  <c r="K63" i="18"/>
  <c r="K176" i="29"/>
  <c r="L63" i="22"/>
  <c r="L5" i="23"/>
  <c r="M87" i="15"/>
  <c r="L56" i="23"/>
  <c r="M61" i="16"/>
  <c r="O167" i="4"/>
  <c r="O15" i="31"/>
  <c r="L120" i="32"/>
  <c r="L117" i="30"/>
  <c r="N162" i="33"/>
  <c r="L145" i="2"/>
  <c r="O136" i="3"/>
  <c r="O24" i="16"/>
  <c r="O61" i="28"/>
  <c r="K170" i="15"/>
  <c r="M126" i="29"/>
  <c r="O102" i="31"/>
  <c r="M84" i="5"/>
  <c r="K184" i="1"/>
  <c r="M36" i="29"/>
  <c r="K109" i="19"/>
  <c r="N170" i="21"/>
  <c r="M174" i="27"/>
  <c r="M54" i="32"/>
  <c r="N162" i="4"/>
  <c r="L47" i="10"/>
  <c r="L3" i="1"/>
  <c r="N57" i="9"/>
  <c r="L47" i="29"/>
  <c r="M71" i="27"/>
  <c r="N182" i="25"/>
  <c r="M143" i="32"/>
  <c r="N160" i="4"/>
  <c r="O26" i="29"/>
  <c r="N171" i="26"/>
  <c r="K109" i="31"/>
  <c r="K127" i="17"/>
  <c r="K64" i="26"/>
  <c r="L177" i="32"/>
  <c r="N133" i="11"/>
  <c r="K134" i="10"/>
  <c r="K142" i="29"/>
  <c r="K47" i="17"/>
  <c r="O117" i="3"/>
  <c r="K107" i="32"/>
  <c r="M29" i="3"/>
  <c r="O65" i="12"/>
  <c r="O25" i="3"/>
  <c r="N100" i="18"/>
  <c r="O140" i="2"/>
  <c r="L67" i="5"/>
  <c r="O34" i="12"/>
  <c r="O99" i="19"/>
  <c r="K149" i="28"/>
  <c r="L58" i="11"/>
  <c r="N149" i="25"/>
  <c r="N77" i="17"/>
  <c r="O102" i="5"/>
  <c r="M43" i="17"/>
  <c r="N125" i="16"/>
  <c r="L118" i="17"/>
  <c r="M14" i="4"/>
  <c r="L16" i="19"/>
  <c r="N93" i="23"/>
  <c r="O68" i="9"/>
  <c r="M154" i="29"/>
  <c r="M177" i="2"/>
  <c r="N127" i="12"/>
  <c r="N122" i="4"/>
  <c r="N183" i="32"/>
  <c r="L31" i="33"/>
  <c r="L50" i="17"/>
  <c r="O54" i="6"/>
  <c r="M142" i="12"/>
  <c r="N71" i="18"/>
  <c r="K98" i="30"/>
  <c r="K54" i="11"/>
  <c r="L19" i="31"/>
  <c r="N8" i="3"/>
  <c r="M144" i="18"/>
  <c r="O112" i="19"/>
  <c r="L112" i="32"/>
  <c r="M133" i="25"/>
  <c r="N31" i="11"/>
  <c r="L136" i="19"/>
  <c r="M110" i="15"/>
  <c r="L123" i="9"/>
  <c r="N4" i="17"/>
  <c r="L177" i="33"/>
  <c r="K4" i="2"/>
  <c r="N61" i="28"/>
  <c r="K157" i="20"/>
  <c r="N112" i="30"/>
  <c r="M42" i="22"/>
  <c r="N81" i="18"/>
  <c r="N183" i="30"/>
  <c r="K114" i="5"/>
  <c r="K74" i="9"/>
  <c r="L57" i="4"/>
  <c r="L49" i="9"/>
  <c r="O184" i="33"/>
  <c r="K135" i="5"/>
  <c r="K109" i="11"/>
  <c r="L112" i="1"/>
  <c r="L119" i="28"/>
  <c r="O171" i="30"/>
  <c r="L116" i="31"/>
  <c r="M125" i="5"/>
  <c r="N181" i="32"/>
  <c r="K150" i="3"/>
  <c r="K98" i="17"/>
  <c r="M115" i="1"/>
  <c r="L54"/>
  <c r="O31" i="32"/>
  <c r="L169" i="6"/>
  <c r="K29" i="23"/>
  <c r="L141" i="32"/>
  <c r="L26" i="21"/>
  <c r="N177" i="23"/>
  <c r="K127" i="22"/>
  <c r="O166" i="5"/>
  <c r="N178" i="29"/>
  <c r="L68" i="26"/>
  <c r="L116" i="32"/>
  <c r="N140" i="1"/>
  <c r="K39" i="21"/>
  <c r="O126" i="32"/>
  <c r="L117" i="31"/>
  <c r="O24" i="11"/>
  <c r="K96" i="6"/>
  <c r="K137" i="33"/>
  <c r="N112" i="3"/>
  <c r="L115" i="21"/>
  <c r="L123" i="29"/>
  <c r="K99" i="6"/>
  <c r="K101" i="9"/>
  <c r="L26" i="1"/>
  <c r="K93" i="16"/>
  <c r="O107"/>
  <c r="L82" i="30"/>
  <c r="O40" i="33"/>
  <c r="K72" i="22"/>
  <c r="O152" i="9"/>
  <c r="K14" i="15"/>
  <c r="N36"/>
  <c r="N60" i="22"/>
  <c r="M118" i="30"/>
  <c r="N163" i="19"/>
  <c r="N177" i="20"/>
  <c r="N88" i="24"/>
  <c r="L179" i="29"/>
  <c r="M84" i="32"/>
  <c r="K172" i="16"/>
  <c r="N119" i="32"/>
  <c r="M130" i="17"/>
  <c r="N46" i="33"/>
  <c r="M121" i="4"/>
  <c r="O64" i="2"/>
  <c r="N5" i="21"/>
  <c r="K66" i="33"/>
  <c r="M97" i="24"/>
  <c r="N60" i="4"/>
  <c r="M52" i="32"/>
  <c r="N43" i="5"/>
  <c r="N37" i="2"/>
  <c r="N180" i="16"/>
  <c r="N67" i="33"/>
  <c r="M40" i="26"/>
  <c r="L65" i="6"/>
  <c r="L72" i="18"/>
  <c r="L10" i="12"/>
  <c r="K23" i="22"/>
  <c r="O184" i="19"/>
  <c r="M16" i="11"/>
  <c r="K91" i="29"/>
  <c r="O51" i="27"/>
  <c r="L168" i="31"/>
  <c r="L166" i="21"/>
  <c r="M184" i="32"/>
  <c r="O19" i="30"/>
  <c r="L58" i="29"/>
  <c r="M121" i="32"/>
  <c r="O179" i="10"/>
  <c r="K29" i="17"/>
  <c r="O132"/>
  <c r="O168" i="15"/>
  <c r="N26" i="23"/>
  <c r="K168" i="31"/>
  <c r="L127" i="33"/>
  <c r="N26" i="9"/>
  <c r="N130" i="25"/>
  <c r="O14" i="22"/>
  <c r="O178" i="6"/>
  <c r="K121" i="5"/>
  <c r="M75" i="15"/>
  <c r="M9" i="11"/>
  <c r="L142" i="2"/>
  <c r="M115" i="31"/>
  <c r="K169" i="21"/>
  <c r="N131" i="3"/>
  <c r="O98" i="4"/>
  <c r="N84" i="32"/>
  <c r="N79" i="1"/>
  <c r="O19" i="27"/>
  <c r="K45" i="33"/>
  <c r="N177" i="3"/>
  <c r="M117"/>
  <c r="L42" i="22"/>
  <c r="L128" i="28"/>
  <c r="O37" i="11"/>
  <c r="M13" i="18"/>
  <c r="M61" i="26"/>
  <c r="N139" i="33"/>
  <c r="K155" i="30"/>
  <c r="K29" i="16"/>
  <c r="K31"/>
  <c r="N91" i="4"/>
  <c r="O69" i="6"/>
  <c r="O60" i="11"/>
  <c r="M120" i="21"/>
  <c r="O182" i="12"/>
  <c r="N107" i="5"/>
  <c r="K63" i="22"/>
  <c r="L117" i="9"/>
  <c r="O136" i="33"/>
  <c r="N74" i="20"/>
  <c r="L81" i="6"/>
  <c r="O88" i="10"/>
  <c r="K36" i="15"/>
  <c r="K11" i="20"/>
  <c r="O139" i="2"/>
  <c r="M28" i="6"/>
  <c r="N3" i="15"/>
  <c r="L38" i="32"/>
  <c r="M130" i="2"/>
  <c r="K120" i="9"/>
  <c r="N60" i="27"/>
  <c r="L74" i="26"/>
  <c r="M68" i="19"/>
  <c r="M108" i="25"/>
  <c r="N142" i="31"/>
  <c r="K181" i="33"/>
  <c r="O180" i="11"/>
  <c r="O101" i="17"/>
  <c r="O125" i="31"/>
  <c r="O78" i="18"/>
  <c r="N107" i="11"/>
  <c r="L89" i="26"/>
  <c r="O71" i="29"/>
  <c r="L163" i="22"/>
  <c r="L166" i="10"/>
  <c r="N71" i="20"/>
  <c r="K109" i="28"/>
  <c r="K102" i="9"/>
  <c r="L100" i="29"/>
  <c r="O46" i="9"/>
  <c r="M113" i="28"/>
  <c r="M63" i="11"/>
  <c r="K79" i="30"/>
  <c r="L77" i="9"/>
  <c r="L181"/>
  <c r="N94" i="6"/>
  <c r="K125" i="17"/>
  <c r="N144" i="12"/>
  <c r="O18" i="15"/>
  <c r="N139" i="20"/>
  <c r="L45" i="21"/>
  <c r="L163" i="23"/>
  <c r="K95" i="26"/>
  <c r="L29" i="12"/>
  <c r="N26" i="2"/>
  <c r="K127" i="4"/>
  <c r="L92" i="20"/>
  <c r="M137" i="4"/>
  <c r="N68" i="25"/>
  <c r="O181" i="27"/>
  <c r="N136" i="29"/>
  <c r="L91" i="10"/>
  <c r="O142" i="6"/>
  <c r="O31" i="33"/>
  <c r="N49" i="24"/>
  <c r="N45" i="16"/>
  <c r="L177" i="29"/>
  <c r="N65" i="24"/>
  <c r="K161" i="20"/>
  <c r="N3" i="11"/>
  <c r="N31" i="30"/>
  <c r="L153" i="20"/>
  <c r="K142" i="24"/>
  <c r="M153" i="11"/>
  <c r="O174" i="10"/>
  <c r="L86" i="32"/>
  <c r="N177" i="17"/>
  <c r="L4" i="18"/>
  <c r="M106" i="1"/>
  <c r="K173" i="21"/>
  <c r="M71" i="1"/>
  <c r="O176" i="31"/>
  <c r="L99" i="15"/>
  <c r="N132" i="4"/>
  <c r="K128" i="12"/>
  <c r="M38" i="26"/>
  <c r="N35" i="11"/>
  <c r="N174" i="12"/>
  <c r="N147" i="22"/>
  <c r="M14" i="12"/>
  <c r="M74" i="27"/>
  <c r="M3" i="18"/>
  <c r="O94" i="20"/>
  <c r="K88" i="10"/>
  <c r="M102" i="1"/>
  <c r="K141" i="29"/>
  <c r="M81" i="25"/>
  <c r="N10" i="28"/>
  <c r="N178" i="10"/>
  <c r="N141" i="9"/>
  <c r="O158" i="4"/>
  <c r="M3" i="11"/>
  <c r="L136" i="29"/>
  <c r="M19" i="32"/>
  <c r="L65" i="10"/>
  <c r="O26" i="15"/>
  <c r="K149" i="9"/>
  <c r="K85" i="27"/>
  <c r="K94" i="23"/>
  <c r="K35" i="33"/>
  <c r="L108" i="17"/>
  <c r="O169" i="20"/>
  <c r="L97" i="24"/>
  <c r="N166" i="27"/>
  <c r="M29" i="28"/>
  <c r="L144" i="32"/>
  <c r="L130" i="20"/>
  <c r="O29" i="5"/>
  <c r="M173" i="1"/>
  <c r="M38" i="3"/>
  <c r="N10" i="16"/>
  <c r="N8" i="25"/>
  <c r="M77" i="29"/>
  <c r="K80" i="21"/>
  <c r="O93" i="32"/>
  <c r="L93" i="10"/>
  <c r="M15" i="17"/>
  <c r="N60" i="1"/>
  <c r="N49" i="33"/>
  <c r="O166" i="19"/>
  <c r="N118" i="2"/>
  <c r="L43"/>
  <c r="L106" i="25"/>
  <c r="L76" i="26"/>
  <c r="N131" i="6"/>
  <c r="O72" i="25"/>
  <c r="O26" i="22"/>
  <c r="M139" i="6"/>
  <c r="L139" i="2"/>
  <c r="N14" i="11"/>
  <c r="M158" i="31"/>
  <c r="L160" i="11"/>
  <c r="O134" i="1"/>
  <c r="O45"/>
  <c r="K185" i="32"/>
  <c r="O43" i="6"/>
  <c r="L94" i="11"/>
  <c r="K180" i="32"/>
  <c r="M68"/>
  <c r="O33" i="20"/>
  <c r="O116" i="31"/>
  <c r="K132" i="5"/>
  <c r="N131" i="23"/>
  <c r="N68" i="20"/>
  <c r="N166" i="28"/>
  <c r="M9" i="32"/>
  <c r="L111" i="16"/>
  <c r="M52" i="18"/>
  <c r="L178" i="31"/>
  <c r="O146" i="29"/>
  <c r="K171" i="18"/>
  <c r="M148" i="9"/>
  <c r="L8" i="27"/>
  <c r="K49" i="23"/>
  <c r="N37" i="10"/>
  <c r="K107" i="11"/>
  <c r="L71" i="19"/>
  <c r="L148" i="12"/>
  <c r="N76" i="29"/>
  <c r="M14" i="9"/>
  <c r="M183" i="15"/>
  <c r="K176" i="18"/>
  <c r="K157" i="1"/>
  <c r="L181" i="23"/>
  <c r="K158" i="2"/>
  <c r="O152" i="33"/>
  <c r="M77" i="30"/>
  <c r="O163" i="31"/>
  <c r="O46" i="23"/>
  <c r="N11" i="19"/>
  <c r="L8" i="28"/>
  <c r="N118" i="30"/>
  <c r="N77" i="22"/>
  <c r="K92" i="9"/>
  <c r="M119" i="30"/>
  <c r="M20" i="1"/>
  <c r="N173" i="17"/>
  <c r="N168" i="23"/>
  <c r="O171" i="17"/>
  <c r="O171" i="28"/>
  <c r="L137" i="4"/>
  <c r="L54" i="28"/>
  <c r="K171" i="32"/>
  <c r="K106" i="1"/>
  <c r="M54" i="10"/>
  <c r="O36" i="33"/>
  <c r="K8"/>
  <c r="L13" i="16"/>
  <c r="O169" i="3"/>
  <c r="M157" i="29"/>
  <c r="K19" i="27"/>
  <c r="O28" i="10"/>
  <c r="K65" i="17"/>
  <c r="O33" i="16"/>
  <c r="K100" i="29"/>
  <c r="M45" i="23"/>
  <c r="K126"/>
  <c r="M185" i="10"/>
  <c r="O146" i="5"/>
  <c r="M158" i="33"/>
  <c r="L144" i="2"/>
  <c r="L146" i="9"/>
  <c r="M181" i="3"/>
  <c r="K23" i="1"/>
  <c r="L136" i="22"/>
  <c r="N19" i="29"/>
  <c r="N98" i="21"/>
  <c r="O140"/>
  <c r="O131" i="26"/>
  <c r="M73" i="31"/>
  <c r="N78" i="1"/>
  <c r="N72" i="30"/>
  <c r="N58" i="19"/>
  <c r="K129" i="22"/>
  <c r="O132"/>
  <c r="L169" i="15"/>
  <c r="M25" i="10"/>
  <c r="K45" i="6"/>
  <c r="O183" i="23"/>
  <c r="M136" i="26"/>
  <c r="M13" i="16"/>
  <c r="N69" i="28"/>
  <c r="K72"/>
  <c r="N53" i="16"/>
  <c r="K76" i="25"/>
  <c r="K122" i="4"/>
  <c r="N30" i="15"/>
  <c r="N14" i="9"/>
  <c r="L68" i="1"/>
  <c r="K144" i="22"/>
  <c r="O132" i="32"/>
  <c r="O53" i="20"/>
  <c r="L96"/>
  <c r="O184" i="1"/>
  <c r="N9"/>
  <c r="M182" i="5"/>
  <c r="M79" i="19"/>
  <c r="L13" i="32"/>
  <c r="K39" i="1"/>
  <c r="K184" i="26"/>
  <c r="L33" i="4"/>
  <c r="L43" i="3"/>
  <c r="N72" i="4"/>
  <c r="K51" i="9"/>
  <c r="L167" i="12"/>
  <c r="K133" i="31"/>
  <c r="K110" i="2"/>
  <c r="L40" i="17"/>
  <c r="O36" i="12"/>
  <c r="N49" i="27"/>
  <c r="M115" i="22"/>
  <c r="N172" i="17"/>
  <c r="O133" i="31"/>
  <c r="O113" i="2"/>
  <c r="L148" i="19"/>
  <c r="L153" i="31"/>
  <c r="M181" i="25"/>
  <c r="M153" i="15"/>
  <c r="M6" i="5"/>
  <c r="K139" i="3"/>
  <c r="N14" i="18"/>
  <c r="L14" i="1"/>
  <c r="L24" i="32"/>
  <c r="O18" i="18"/>
  <c r="N169" i="11"/>
  <c r="N37" i="22"/>
  <c r="K161" i="21"/>
  <c r="O3" i="29"/>
  <c r="K20" i="10"/>
  <c r="N159"/>
  <c r="L118" i="26"/>
  <c r="K34" i="3"/>
  <c r="O52" i="24"/>
  <c r="M126" i="9"/>
  <c r="O66" i="10"/>
  <c r="O52" i="23"/>
  <c r="N85" i="9"/>
  <c r="M158" i="30"/>
  <c r="M120" i="23"/>
  <c r="M132" i="18"/>
  <c r="M110" i="24"/>
  <c r="O131" i="21"/>
  <c r="L33" i="11"/>
  <c r="L8" i="31"/>
  <c r="O37" i="10"/>
  <c r="K117" i="27"/>
  <c r="O170" i="28"/>
  <c r="L10" i="11"/>
  <c r="M97" i="10"/>
  <c r="M181" i="11"/>
  <c r="N76" i="3"/>
  <c r="L141" i="4"/>
  <c r="L21" i="9"/>
  <c r="K34" i="12"/>
  <c r="L120" i="1"/>
  <c r="L78" i="19"/>
  <c r="N108" i="23"/>
  <c r="O75"/>
  <c r="K170" i="28"/>
  <c r="N85" i="2"/>
  <c r="L26" i="18"/>
  <c r="O36" i="20"/>
  <c r="N179" i="31"/>
  <c r="K98" i="22"/>
  <c r="L85" i="9"/>
  <c r="O183" i="19"/>
  <c r="L69" i="22"/>
  <c r="N54" i="23"/>
  <c r="K11" i="30"/>
  <c r="M117" i="22"/>
  <c r="M182" i="23"/>
  <c r="N183" i="33"/>
  <c r="M4" i="16"/>
  <c r="L159" i="5"/>
  <c r="N79" i="9"/>
  <c r="N31" i="17"/>
  <c r="N141" i="33"/>
  <c r="O108" i="17"/>
  <c r="L54" i="20"/>
  <c r="O87" i="16"/>
  <c r="O120" i="9"/>
  <c r="L139" i="30"/>
  <c r="O118" i="33"/>
  <c r="K161" i="15"/>
  <c r="O112" i="22"/>
  <c r="O86" i="27"/>
  <c r="N171" i="1"/>
  <c r="O116" i="23"/>
  <c r="O60" i="10"/>
  <c r="M36" i="23"/>
  <c r="O120" i="33"/>
  <c r="L3" i="3"/>
  <c r="O96" i="19"/>
  <c r="K95" i="23"/>
  <c r="M19"/>
  <c r="M15" i="31"/>
  <c r="M132" i="2"/>
  <c r="L99" i="9"/>
  <c r="M88" i="20"/>
  <c r="M121" i="10"/>
  <c r="K144" i="28"/>
  <c r="K58"/>
  <c r="K36" i="18"/>
  <c r="L115" i="12"/>
  <c r="M172" i="6"/>
  <c r="N145" i="32"/>
  <c r="O117" i="22"/>
  <c r="L84" i="5"/>
  <c r="N159" i="32"/>
  <c r="N49" i="31"/>
  <c r="O170" i="21"/>
  <c r="L141" i="19"/>
  <c r="K152" i="15"/>
  <c r="N60" i="6"/>
  <c r="N46" i="19"/>
  <c r="L171" i="33"/>
  <c r="K97"/>
  <c r="O43" i="5"/>
  <c r="M121" i="21"/>
  <c r="N73" i="32"/>
  <c r="N132" i="26"/>
  <c r="K65" i="31"/>
  <c r="O24" i="25"/>
  <c r="K143" i="9"/>
  <c r="O29"/>
  <c r="M13" i="22"/>
  <c r="M59" i="19"/>
  <c r="O84" i="2"/>
  <c r="K119" i="24"/>
  <c r="N63" i="1"/>
  <c r="L110" i="17"/>
  <c r="M113" i="15"/>
  <c r="N9" i="20"/>
  <c r="K147" i="15"/>
  <c r="K29" i="27"/>
  <c r="N29" i="25"/>
  <c r="L107" i="11"/>
  <c r="M182" i="30"/>
  <c r="L24" i="22"/>
  <c r="N160" i="20"/>
  <c r="O30" i="10"/>
  <c r="L149" i="23"/>
  <c r="M160" i="3"/>
  <c r="N9" i="18"/>
  <c r="M171" i="29"/>
  <c r="N158" i="12"/>
  <c r="N98" i="9"/>
  <c r="K18" i="33"/>
  <c r="L101" i="12"/>
  <c r="L112" i="5"/>
  <c r="M57" i="31"/>
  <c r="K54" i="22"/>
  <c r="L95" i="4"/>
  <c r="L71" i="18"/>
  <c r="L64" i="9"/>
  <c r="L111" i="29"/>
  <c r="L158" i="17"/>
  <c r="N127" i="5"/>
  <c r="N151" i="27"/>
  <c r="K26" i="18"/>
  <c r="N53" i="24"/>
  <c r="N57" i="30"/>
  <c r="L158" i="25"/>
  <c r="M80" i="11"/>
  <c r="N109" i="26"/>
  <c r="L39" i="22"/>
  <c r="O40" i="9"/>
  <c r="N163" i="21"/>
  <c r="O24" i="5"/>
  <c r="O71" i="10"/>
  <c r="K152" i="9"/>
  <c r="L128" i="21"/>
  <c r="L82"/>
  <c r="K139" i="23"/>
  <c r="K52" i="19"/>
  <c r="M181"/>
  <c r="L134" i="30"/>
  <c r="N136" i="33"/>
  <c r="M24" i="22"/>
  <c r="M89" i="29"/>
  <c r="O130" i="17"/>
  <c r="O11" i="23"/>
  <c r="O132" i="30"/>
  <c r="L52" i="10"/>
  <c r="N19" i="20"/>
  <c r="L6" i="23"/>
  <c r="M86" i="30"/>
  <c r="M52" i="20"/>
  <c r="K88" i="19"/>
  <c r="L50" i="23"/>
  <c r="M177" i="3"/>
  <c r="M64" i="6"/>
  <c r="L184" i="5"/>
  <c r="M38" i="19"/>
  <c r="O149" i="5"/>
  <c r="N150" i="1"/>
  <c r="L80"/>
  <c r="K121" i="32"/>
  <c r="L31" i="27"/>
  <c r="K66" i="16"/>
  <c r="L118" i="24"/>
  <c r="K149" i="33"/>
  <c r="O170" i="24"/>
  <c r="K40" i="26"/>
  <c r="K178" i="32"/>
  <c r="L5" i="29"/>
  <c r="L11" i="9"/>
  <c r="L165" i="28"/>
  <c r="N149" i="2"/>
  <c r="M82" i="11"/>
  <c r="M71" i="30"/>
  <c r="L157" i="2"/>
  <c r="M68" i="6"/>
  <c r="M151" i="2"/>
  <c r="K181" i="22"/>
  <c r="L137" i="10"/>
  <c r="M33" i="22"/>
  <c r="M99" i="32"/>
  <c r="K16" i="23"/>
  <c r="K137" i="31"/>
  <c r="N29" i="32"/>
  <c r="K147" i="31"/>
  <c r="L173"/>
  <c r="L88" i="32"/>
  <c r="N38" i="17"/>
  <c r="O46" i="21"/>
  <c r="M151" i="17"/>
  <c r="M169" i="11"/>
  <c r="L30" i="30"/>
  <c r="L18" i="28"/>
  <c r="L20" i="22"/>
  <c r="K94" i="28"/>
  <c r="K99" i="16"/>
  <c r="N178" i="30"/>
  <c r="L79" i="3"/>
  <c r="O101" i="30"/>
  <c r="L158"/>
  <c r="L11" i="26"/>
  <c r="O178" i="19"/>
  <c r="O44" i="6"/>
  <c r="O47" i="17"/>
  <c r="M158" i="9"/>
  <c r="L42" i="6"/>
  <c r="K163" i="11"/>
  <c r="K59" i="23"/>
  <c r="L73" i="4"/>
  <c r="L133" i="31"/>
  <c r="M23" i="32"/>
  <c r="K125" i="10"/>
  <c r="L98" i="3"/>
  <c r="K127" i="11"/>
  <c r="L66" i="16"/>
  <c r="L173" i="17"/>
  <c r="O67" i="21"/>
  <c r="N30" i="9"/>
  <c r="M159" i="28"/>
  <c r="L122" i="29"/>
  <c r="O47" i="12"/>
  <c r="L170" i="27"/>
  <c r="K75" i="18"/>
  <c r="M170" i="15"/>
  <c r="M169" i="17"/>
  <c r="N149" i="30"/>
  <c r="O84" i="20"/>
  <c r="M107" i="9"/>
  <c r="M109" i="19"/>
  <c r="N96" i="4"/>
  <c r="M66" i="29"/>
  <c r="O126" i="26"/>
  <c r="K117" i="6"/>
  <c r="O63" i="17"/>
  <c r="N139" i="22"/>
  <c r="N116" i="29"/>
  <c r="L31" i="3"/>
  <c r="L18" i="16"/>
  <c r="M173" i="6"/>
  <c r="M46" i="12"/>
  <c r="N131" i="30"/>
  <c r="K184" i="29"/>
  <c r="N137" i="9"/>
  <c r="K114" i="32"/>
  <c r="N130" i="1"/>
  <c r="O179" i="2"/>
  <c r="M9" i="9"/>
  <c r="L95" i="21"/>
  <c r="K60" i="17"/>
  <c r="L100" i="6"/>
  <c r="L42" i="29"/>
  <c r="N173" i="4"/>
  <c r="O99" i="33"/>
  <c r="N84" i="5"/>
  <c r="L50" i="4"/>
  <c r="O81" i="15"/>
  <c r="O101" i="32"/>
  <c r="M149" i="22"/>
  <c r="M141" i="25"/>
  <c r="N107" i="6"/>
  <c r="O78" i="3"/>
  <c r="K107" i="18"/>
  <c r="M96" i="5"/>
  <c r="N145"/>
  <c r="N8" i="17"/>
  <c r="O36" i="26"/>
  <c r="N9" i="23"/>
  <c r="O38" i="27"/>
  <c r="O64" i="32"/>
  <c r="N168" i="3"/>
  <c r="N121" i="5"/>
  <c r="O26" i="26"/>
  <c r="L66" i="19"/>
  <c r="N149" i="15"/>
  <c r="N99" i="31"/>
  <c r="K44" i="6"/>
  <c r="O163" i="22"/>
  <c r="L117"/>
  <c r="N24" i="30"/>
  <c r="M182" i="17"/>
  <c r="L25" i="2"/>
  <c r="N59" i="27"/>
  <c r="L109" i="12"/>
  <c r="O20" i="25"/>
  <c r="L66" i="9"/>
  <c r="M52" i="31"/>
  <c r="L29" i="4"/>
  <c r="O92" i="17"/>
  <c r="K183" i="16"/>
  <c r="O129" i="17"/>
  <c r="M44" i="31"/>
  <c r="M84" i="6"/>
  <c r="M63" i="30"/>
  <c r="L117" i="19"/>
  <c r="L51"/>
  <c r="K51" i="2"/>
  <c r="L23" i="1"/>
  <c r="L184" i="31"/>
  <c r="L13" i="22"/>
  <c r="N129" i="27"/>
  <c r="L162" i="24"/>
  <c r="L142" i="31"/>
  <c r="N29" i="26"/>
  <c r="K128" i="16"/>
  <c r="L13" i="3"/>
  <c r="O28" i="17"/>
  <c r="L133" i="22"/>
  <c r="K87" i="2"/>
  <c r="K102" i="29"/>
  <c r="K97" i="9"/>
  <c r="N52" i="6"/>
  <c r="M25" i="24"/>
  <c r="O145" i="5"/>
  <c r="L68" i="27"/>
  <c r="K8" i="23"/>
  <c r="K127" i="33"/>
  <c r="O174" i="15"/>
  <c r="L139" i="16"/>
  <c r="O181" i="32"/>
  <c r="N176" i="26"/>
  <c r="O46" i="30"/>
  <c r="M98" i="3"/>
  <c r="O37" i="15"/>
  <c r="M127" i="5"/>
  <c r="L9" i="23"/>
  <c r="L38" i="2"/>
  <c r="K93" i="27"/>
  <c r="L77" i="32"/>
  <c r="O161" i="10"/>
  <c r="O174" i="1"/>
  <c r="K6" i="31"/>
  <c r="O44" i="2"/>
  <c r="N149" i="32"/>
  <c r="O135" i="17"/>
  <c r="O73" i="27"/>
  <c r="O166" i="23"/>
  <c r="K65" i="10"/>
  <c r="M28" i="9"/>
  <c r="O86" i="10"/>
  <c r="L37" i="6"/>
  <c r="O160" i="3"/>
  <c r="M65" i="6"/>
  <c r="L66" i="1"/>
  <c r="M146" i="9"/>
  <c r="O4" i="16"/>
  <c r="O171" i="9"/>
  <c r="M85" i="19"/>
  <c r="K137" i="17"/>
  <c r="L78" i="30"/>
  <c r="K56" i="3"/>
  <c r="N95" i="1"/>
  <c r="K3" i="23"/>
  <c r="L34" i="20"/>
  <c r="N89" i="25"/>
  <c r="O151"/>
  <c r="N181" i="19"/>
  <c r="K9" i="6"/>
  <c r="O74" i="17"/>
  <c r="O49" i="16"/>
  <c r="K149" i="26"/>
  <c r="M77" i="9"/>
  <c r="M58" i="18"/>
  <c r="O166" i="30"/>
  <c r="K37" i="32"/>
  <c r="L21" i="3"/>
  <c r="O44" i="30"/>
  <c r="N168" i="29"/>
  <c r="N166" i="9"/>
  <c r="M106" i="32"/>
  <c r="K28" i="29"/>
  <c r="K44" i="25"/>
  <c r="K6" i="6"/>
  <c r="N81" i="10"/>
  <c r="L29" i="19"/>
  <c r="O101" i="11"/>
  <c r="N50" i="6"/>
  <c r="K102" i="28"/>
  <c r="K69" i="22"/>
  <c r="K137" i="23"/>
  <c r="N69" i="21"/>
  <c r="L127" i="2"/>
  <c r="O149" i="30"/>
  <c r="O155" i="15"/>
  <c r="L46"/>
  <c r="M80" i="3"/>
  <c r="O64" i="33"/>
  <c r="L96" i="23"/>
  <c r="M16" i="6"/>
  <c r="N120" i="4"/>
  <c r="L85" i="28"/>
  <c r="L34" i="4"/>
  <c r="O31" i="17"/>
  <c r="M67" i="30"/>
  <c r="K130" i="17"/>
  <c r="L73" i="32"/>
  <c r="N123" i="2"/>
  <c r="N173" i="33"/>
  <c r="K52"/>
  <c r="O77" i="18"/>
  <c r="K75" i="2"/>
  <c r="L96" i="21"/>
  <c r="L177" i="2"/>
  <c r="O25" i="24"/>
  <c r="O5" i="15"/>
  <c r="L86" i="25"/>
  <c r="L127" i="21"/>
  <c r="O177" i="4"/>
  <c r="N43" i="22"/>
  <c r="O170" i="6"/>
  <c r="K68" i="15"/>
  <c r="L88" i="18"/>
  <c r="N76" i="17"/>
  <c r="K180" i="16"/>
  <c r="M58" i="6"/>
  <c r="O150"/>
  <c r="K101" i="27"/>
  <c r="N98" i="19"/>
  <c r="K93" i="2"/>
  <c r="L165" i="32"/>
  <c r="N69" i="4"/>
  <c r="O126" i="5"/>
  <c r="O183" i="33"/>
  <c r="N5" i="3"/>
  <c r="K89" i="32"/>
  <c r="K177" i="5"/>
  <c r="O72" i="23"/>
  <c r="L130" i="21"/>
  <c r="M167" i="9"/>
  <c r="L13" i="1"/>
  <c r="L116" i="20"/>
  <c r="L85" i="26"/>
  <c r="L96" i="9"/>
  <c r="O50" i="32"/>
  <c r="K98" i="24"/>
  <c r="K168" i="23"/>
  <c r="N129" i="20"/>
  <c r="M69" i="19"/>
  <c r="O45" i="30"/>
  <c r="K142" i="27"/>
  <c r="K30" i="31"/>
  <c r="N167" i="18"/>
  <c r="O89" i="1"/>
  <c r="L118" i="25"/>
  <c r="N140" i="23"/>
  <c r="M61" i="6"/>
  <c r="N147" i="20"/>
  <c r="M50" i="23"/>
  <c r="O44" i="1"/>
  <c r="O153" i="29"/>
  <c r="N58" i="26"/>
  <c r="K56" i="20"/>
  <c r="O167" i="22"/>
  <c r="M63" i="19"/>
  <c r="N68" i="33"/>
  <c r="K89" i="15"/>
  <c r="O78" i="2"/>
  <c r="O126" i="31"/>
  <c r="N69" i="27"/>
  <c r="O129" i="33"/>
  <c r="L82" i="27"/>
  <c r="K69" i="31"/>
  <c r="O85" i="22"/>
  <c r="K154" i="33"/>
  <c r="O107" i="4"/>
  <c r="N74"/>
  <c r="K16" i="27"/>
  <c r="N28" i="33"/>
  <c r="K93" i="29"/>
  <c r="K154" i="5"/>
  <c r="L51" i="28"/>
  <c r="N172" i="1"/>
  <c r="M20" i="15"/>
  <c r="N94" i="29"/>
  <c r="M20" i="27"/>
  <c r="O16" i="32"/>
  <c r="M95" i="27"/>
  <c r="L109" i="19"/>
  <c r="N8" i="4"/>
  <c r="M36" i="22"/>
  <c r="M56" i="1"/>
  <c r="N145" i="15"/>
  <c r="M91" i="3"/>
  <c r="K93" i="21"/>
  <c r="K121" i="27"/>
  <c r="L91" i="6"/>
  <c r="N88" i="17"/>
  <c r="K129" i="21"/>
  <c r="N183" i="3"/>
  <c r="N148" i="30"/>
  <c r="N148" i="16"/>
  <c r="M6" i="22"/>
  <c r="O33" i="11"/>
  <c r="L21" i="24"/>
  <c r="N20" i="16"/>
  <c r="L16" i="6"/>
  <c r="L49" i="23"/>
  <c r="L68"/>
  <c r="M93"/>
  <c r="L50" i="9"/>
  <c r="K16" i="29"/>
  <c r="O94" i="4"/>
  <c r="M25" i="15"/>
  <c r="M65" i="17"/>
  <c r="K112" i="31"/>
  <c r="M182" i="16"/>
  <c r="K100" i="20"/>
  <c r="N88" i="30"/>
  <c r="N84" i="3"/>
  <c r="M29" i="11"/>
  <c r="N38" i="23"/>
  <c r="L157" i="27"/>
  <c r="M142" i="9"/>
  <c r="O84" i="24"/>
  <c r="L121" i="11"/>
  <c r="L170" i="6"/>
  <c r="M140" i="11"/>
  <c r="N56" i="27"/>
  <c r="N66" i="16"/>
  <c r="O38" i="11"/>
  <c r="N56" i="1"/>
  <c r="K151" i="3"/>
  <c r="O114" i="2"/>
  <c r="M60" i="9"/>
  <c r="N110" i="16"/>
  <c r="L19" i="30"/>
  <c r="K18" i="16"/>
  <c r="N128" i="33"/>
  <c r="L142" i="6"/>
  <c r="K81" i="19"/>
  <c r="M71" i="12"/>
  <c r="M51" i="1"/>
  <c r="M159" i="19"/>
  <c r="K89" i="23"/>
  <c r="O77" i="21"/>
  <c r="O125" i="27"/>
  <c r="N152" i="22"/>
  <c r="N154" i="32"/>
  <c r="N128" i="1"/>
  <c r="M167" i="31"/>
  <c r="M114" i="30"/>
  <c r="K18" i="17"/>
  <c r="O139" i="24"/>
  <c r="K184" i="16"/>
  <c r="L88" i="27"/>
  <c r="K135" i="32"/>
  <c r="M112" i="26"/>
  <c r="M72" i="31"/>
  <c r="O182" i="32"/>
  <c r="L128" i="22"/>
  <c r="N52" i="24"/>
  <c r="M180" i="30"/>
  <c r="K69" i="9"/>
  <c r="O172" i="23"/>
  <c r="K176" i="5"/>
  <c r="L77" i="11"/>
  <c r="N116" i="32"/>
  <c r="N135" i="11"/>
  <c r="L43" i="4"/>
  <c r="N33" i="23"/>
  <c r="N130" i="9"/>
  <c r="O113" i="4"/>
  <c r="K66" i="21"/>
  <c r="K119" i="30"/>
  <c r="L26" i="19"/>
  <c r="M59" i="18"/>
  <c r="L101" i="29"/>
  <c r="K68" i="31"/>
  <c r="O16" i="15"/>
  <c r="L13" i="33"/>
  <c r="O144" i="25"/>
  <c r="M6" i="17"/>
  <c r="O94" i="16"/>
  <c r="L150" i="11"/>
  <c r="N150" i="27"/>
  <c r="L176" i="18"/>
  <c r="K52" i="12"/>
  <c r="O76" i="30"/>
  <c r="L39" i="16"/>
  <c r="K47" i="3"/>
  <c r="N15" i="30"/>
  <c r="M76" i="17"/>
  <c r="K117" i="33"/>
  <c r="O115" i="19"/>
  <c r="O106" i="11"/>
  <c r="N19" i="2"/>
  <c r="L133" i="23"/>
  <c r="M160" i="27"/>
  <c r="K36" i="31"/>
  <c r="L24" i="5"/>
  <c r="N137" i="18"/>
  <c r="L68"/>
  <c r="L122" i="22"/>
  <c r="M57" i="11"/>
  <c r="N25" i="23"/>
  <c r="O137" i="32"/>
  <c r="N75" i="31"/>
  <c r="M149" i="19"/>
  <c r="L43" i="1"/>
  <c r="N166" i="23"/>
  <c r="O85" i="27"/>
  <c r="N93" i="11"/>
  <c r="M106" i="33"/>
  <c r="O91" i="32"/>
  <c r="N110" i="18"/>
  <c r="K147" i="16"/>
  <c r="M78" i="30"/>
  <c r="K33" i="23"/>
  <c r="M11" i="2"/>
  <c r="L100" i="32"/>
  <c r="N11" i="1"/>
  <c r="M36" i="16"/>
  <c r="K120" i="11"/>
  <c r="N149" i="9"/>
  <c r="O95" i="24"/>
  <c r="O112" i="25"/>
  <c r="O143" i="15"/>
  <c r="N61" i="20"/>
  <c r="N74" i="22"/>
  <c r="M10" i="33"/>
  <c r="M150" i="31"/>
  <c r="N29" i="3"/>
  <c r="L80" i="18"/>
  <c r="O38" i="6"/>
  <c r="K82"/>
  <c r="L42" i="21"/>
  <c r="M73" i="18"/>
  <c r="L184" i="19"/>
  <c r="K134" i="29"/>
  <c r="L92" i="19"/>
  <c r="N181" i="1"/>
  <c r="M128" i="33"/>
  <c r="M11" i="31"/>
  <c r="N172" i="22"/>
  <c r="K117" i="11"/>
  <c r="N134" i="12"/>
  <c r="K8" i="30"/>
  <c r="M93" i="18"/>
  <c r="N126" i="22"/>
  <c r="O51" i="11"/>
  <c r="K115" i="20"/>
  <c r="O133" i="3"/>
  <c r="L26" i="11"/>
  <c r="O87" i="18"/>
  <c r="N79" i="25"/>
  <c r="M134" i="3"/>
  <c r="M141" i="31"/>
  <c r="O185" i="27"/>
  <c r="O142" i="12"/>
  <c r="M63" i="15"/>
  <c r="N183" i="23"/>
  <c r="L153" i="1"/>
  <c r="N73" i="30"/>
  <c r="K135" i="9"/>
  <c r="K3" i="27"/>
  <c r="M51" i="33"/>
  <c r="M112" i="9"/>
  <c r="O87" i="12"/>
  <c r="N178" i="24"/>
  <c r="L59"/>
  <c r="L11" i="19"/>
  <c r="O158" i="21"/>
  <c r="N25" i="3"/>
  <c r="K63" i="16"/>
  <c r="N159" i="23"/>
  <c r="L133" i="20"/>
  <c r="K171" i="2"/>
  <c r="O161" i="19"/>
  <c r="L127" i="29"/>
  <c r="N123" i="18"/>
  <c r="O34" i="2"/>
  <c r="O182" i="20"/>
  <c r="M52" i="33"/>
  <c r="K64" i="27"/>
  <c r="N173" i="16"/>
  <c r="K19" i="9"/>
  <c r="K18" i="27"/>
  <c r="K119" i="31"/>
  <c r="L87" i="21"/>
  <c r="O146" i="32"/>
  <c r="M113"/>
  <c r="L36" i="26"/>
  <c r="K133" i="17"/>
  <c r="M91" i="26"/>
  <c r="O135" i="9"/>
  <c r="K153" i="31"/>
  <c r="K151" i="10"/>
  <c r="N144" i="30"/>
  <c r="O33" i="6"/>
  <c r="O40" i="27"/>
  <c r="O10" i="26"/>
  <c r="K137" i="27"/>
  <c r="L130" i="5"/>
  <c r="M53" i="31"/>
  <c r="N50" i="27"/>
  <c r="K59" i="6"/>
  <c r="L82" i="16"/>
  <c r="O93" i="27"/>
  <c r="K51" i="20"/>
  <c r="L159" i="11"/>
  <c r="O60" i="33"/>
  <c r="M173" i="30"/>
  <c r="K113" i="26"/>
  <c r="M168" i="31"/>
  <c r="O115" i="4"/>
  <c r="N57" i="22"/>
  <c r="K133" i="29"/>
  <c r="N162" i="24"/>
  <c r="M81" i="11"/>
  <c r="L111" i="4"/>
  <c r="L43" i="22"/>
  <c r="K168" i="20"/>
  <c r="N185" i="33"/>
  <c r="K39" i="5"/>
  <c r="K166" i="3"/>
  <c r="N98"/>
  <c r="O21" i="15"/>
  <c r="M35" i="10"/>
  <c r="K151" i="1"/>
  <c r="K92" i="31"/>
  <c r="O33" i="9"/>
  <c r="N118" i="1"/>
  <c r="K151" i="24"/>
  <c r="L146" i="30"/>
  <c r="L26" i="28"/>
  <c r="O23" i="9"/>
  <c r="L71" i="3"/>
  <c r="N169"/>
  <c r="L56" i="18"/>
  <c r="O85" i="1"/>
  <c r="O33" i="17"/>
  <c r="M131"/>
  <c r="K143" i="5"/>
  <c r="K97" i="22"/>
  <c r="M107"/>
  <c r="M142" i="21"/>
  <c r="N170" i="28"/>
  <c r="O143" i="19"/>
  <c r="L158" i="29"/>
  <c r="M76" i="27"/>
  <c r="K180" i="22"/>
  <c r="M66" i="30"/>
  <c r="N139" i="9"/>
  <c r="N35" i="30"/>
  <c r="O51"/>
  <c r="M116" i="5"/>
  <c r="M181" i="1"/>
  <c r="N167" i="20"/>
  <c r="O136" i="1"/>
  <c r="O113" i="26"/>
  <c r="N77" i="23"/>
  <c r="N130" i="17"/>
  <c r="M149" i="25"/>
  <c r="O153" i="15"/>
  <c r="O142" i="21"/>
  <c r="O118" i="19"/>
  <c r="L101" i="11"/>
  <c r="L58" i="22"/>
  <c r="M94" i="27"/>
  <c r="O26"/>
  <c r="N163" i="11"/>
  <c r="L114" i="32"/>
  <c r="K10" i="27"/>
  <c r="N148" i="5"/>
  <c r="N16" i="30"/>
  <c r="M77" i="26"/>
  <c r="M132" i="25"/>
  <c r="K170" i="19"/>
  <c r="O36"/>
  <c r="L178" i="27"/>
  <c r="L112" i="22"/>
  <c r="K173" i="23"/>
  <c r="L107" i="28"/>
  <c r="L152" i="6"/>
  <c r="L69" i="19"/>
  <c r="L130" i="33"/>
  <c r="K168" i="30"/>
  <c r="M44" i="20"/>
  <c r="K44" i="31"/>
  <c r="K107" i="4"/>
  <c r="N139" i="6"/>
  <c r="N150" i="17"/>
  <c r="K101" i="20"/>
  <c r="K65" i="27"/>
  <c r="L117" i="5"/>
  <c r="O80" i="19"/>
  <c r="O107" i="11"/>
  <c r="O16" i="9"/>
  <c r="N173" i="22"/>
  <c r="N20" i="23"/>
  <c r="L60" i="31"/>
  <c r="L91" i="22"/>
  <c r="L67" i="12"/>
  <c r="N178" i="9"/>
  <c r="N158" i="18"/>
  <c r="O60" i="25"/>
  <c r="O67" i="5"/>
  <c r="N176" i="30"/>
  <c r="O74" i="27"/>
  <c r="O130" i="9"/>
  <c r="M94" i="24"/>
  <c r="K128" i="3"/>
  <c r="K28" i="1"/>
  <c r="K23" i="25"/>
  <c r="O45" i="17"/>
  <c r="L57" i="30"/>
  <c r="K152" i="21"/>
  <c r="N44" i="17"/>
  <c r="K80" i="29"/>
  <c r="M95" i="3"/>
  <c r="L108" i="27"/>
  <c r="L60" i="6"/>
  <c r="N40" i="19"/>
  <c r="N167" i="28"/>
  <c r="O80"/>
  <c r="M84" i="27"/>
  <c r="L97" i="25"/>
  <c r="L40" i="15"/>
  <c r="K141" i="1"/>
  <c r="L163" i="11"/>
  <c r="O56" i="23"/>
  <c r="N130" i="18"/>
  <c r="M79" i="24"/>
  <c r="L10" i="6"/>
  <c r="L36" i="4"/>
  <c r="K108" i="9"/>
  <c r="N88" i="33"/>
  <c r="M170" i="21"/>
  <c r="O39" i="27"/>
  <c r="N13" i="3"/>
  <c r="N121" i="9"/>
  <c r="N130" i="33"/>
  <c r="M31" i="21"/>
  <c r="M60"/>
  <c r="L172" i="9"/>
  <c r="M179" i="1"/>
  <c r="M145" i="19"/>
  <c r="L162" i="3"/>
  <c r="N11" i="20"/>
  <c r="L177" i="21"/>
  <c r="O53" i="19"/>
  <c r="N5" i="1"/>
  <c r="O173" i="31"/>
  <c r="L9" i="17"/>
  <c r="K67" i="26"/>
  <c r="N129" i="23"/>
  <c r="L135" i="19"/>
  <c r="M33" i="28"/>
  <c r="L92" i="2"/>
  <c r="M131" i="27"/>
  <c r="K20" i="21"/>
  <c r="L162" i="29"/>
  <c r="L177" i="1"/>
  <c r="K69" i="25"/>
  <c r="L53" i="3"/>
  <c r="N137" i="6"/>
  <c r="K122" i="21"/>
  <c r="M152" i="24"/>
  <c r="O110" i="22"/>
  <c r="L125" i="26"/>
  <c r="L151" i="19"/>
  <c r="O24" i="15"/>
  <c r="K173" i="27"/>
  <c r="L58" i="33"/>
  <c r="N179" i="15"/>
  <c r="O71" i="6"/>
  <c r="K106" i="11"/>
  <c r="L145" i="3"/>
  <c r="O81"/>
  <c r="N44" i="1"/>
  <c r="O3" i="23"/>
  <c r="M97" i="27"/>
  <c r="M15" i="19"/>
  <c r="O34"/>
  <c r="O3" i="5"/>
  <c r="L49" i="17"/>
  <c r="M134" i="29"/>
  <c r="O171" i="3"/>
  <c r="O179"/>
  <c r="M92" i="33"/>
  <c r="N47" i="18"/>
  <c r="M159" i="3"/>
  <c r="K163" i="30"/>
  <c r="N179"/>
  <c r="O37" i="33"/>
  <c r="M13" i="10"/>
  <c r="M28" i="23"/>
  <c r="K127" i="2"/>
  <c r="N11" i="6"/>
  <c r="M126" i="5"/>
  <c r="O68" i="11"/>
  <c r="M147" i="17"/>
  <c r="L66" i="12"/>
  <c r="K131" i="6"/>
  <c r="L44" i="29"/>
  <c r="M184" i="20"/>
  <c r="M152" i="3"/>
  <c r="M89" i="23"/>
  <c r="L179" i="6"/>
  <c r="L74" i="11"/>
  <c r="M108" i="16"/>
  <c r="O58" i="31"/>
  <c r="K99" i="33"/>
  <c r="L172" i="20"/>
  <c r="M16" i="5"/>
  <c r="N145" i="28"/>
  <c r="K5" i="6"/>
  <c r="L3" i="26"/>
  <c r="M151" i="16"/>
  <c r="M92" i="10"/>
  <c r="K183" i="6"/>
  <c r="N107" i="17"/>
  <c r="M112" i="11"/>
  <c r="L137" i="31"/>
  <c r="K108" i="18"/>
  <c r="K28" i="9"/>
  <c r="O16" i="27"/>
  <c r="M125" i="3"/>
  <c r="O184" i="16"/>
  <c r="N172" i="33"/>
  <c r="K3" i="11"/>
  <c r="O87" i="15"/>
  <c r="O23" i="25"/>
  <c r="K181"/>
  <c r="O30" i="27"/>
  <c r="K141" i="23"/>
  <c r="M74" i="33"/>
  <c r="K143" i="23"/>
  <c r="K183" i="22"/>
  <c r="L131" i="29"/>
  <c r="L97" i="11"/>
  <c r="L76" i="15"/>
  <c r="M129" i="9"/>
  <c r="N66" i="21"/>
  <c r="O34" i="27"/>
  <c r="O3" i="11"/>
  <c r="K69" i="27"/>
  <c r="O43" i="32"/>
  <c r="N58" i="23"/>
  <c r="M115" i="19"/>
  <c r="N71" i="26"/>
  <c r="N143" i="29"/>
  <c r="M31" i="12"/>
  <c r="N117" i="32"/>
  <c r="K96" i="33"/>
  <c r="K173" i="1"/>
  <c r="M69" i="23"/>
  <c r="O168" i="29"/>
  <c r="O171" i="20"/>
  <c r="N150" i="22"/>
  <c r="N63" i="29"/>
  <c r="M85" i="5"/>
  <c r="K174" i="27"/>
  <c r="M106" i="10"/>
  <c r="N73" i="22"/>
  <c r="O110" i="6"/>
  <c r="N100" i="22"/>
  <c r="M21" i="33"/>
  <c r="N166" i="17"/>
  <c r="L183" i="31"/>
  <c r="L111" i="18"/>
  <c r="K33" i="19"/>
  <c r="O3" i="2"/>
  <c r="O72" i="22"/>
  <c r="M143" i="27"/>
  <c r="L146" i="33"/>
  <c r="L11" i="25"/>
  <c r="M109" i="15"/>
  <c r="O102"/>
  <c r="O152" i="5"/>
  <c r="M92" i="24"/>
  <c r="O100" i="9"/>
  <c r="K21" i="22"/>
  <c r="O169" i="2"/>
  <c r="M163" i="29"/>
  <c r="M5" i="30"/>
  <c r="M43" i="1"/>
  <c r="K18" i="32"/>
  <c r="K52" i="20"/>
  <c r="M59" i="6"/>
  <c r="M144" i="30"/>
  <c r="O66" i="9"/>
  <c r="N72" i="17"/>
  <c r="K3" i="1"/>
  <c r="O142" i="15"/>
  <c r="N75" i="17"/>
  <c r="K86"/>
  <c r="N54" i="29"/>
  <c r="K123" i="22"/>
  <c r="K14" i="3"/>
  <c r="M179" i="23"/>
  <c r="K163" i="33"/>
  <c r="N45" i="28"/>
  <c r="L136" i="17"/>
  <c r="O157" i="30"/>
  <c r="K33" i="4"/>
  <c r="M23" i="29"/>
  <c r="K97" i="5"/>
  <c r="K67" i="23"/>
  <c r="O122" i="30"/>
  <c r="N80" i="28"/>
  <c r="O4" i="24"/>
  <c r="O89" i="23"/>
  <c r="K109" i="29"/>
  <c r="M77" i="22"/>
  <c r="L94" i="33"/>
  <c r="K142" i="30"/>
  <c r="N108" i="33"/>
  <c r="O92" i="29"/>
  <c r="O76" i="24"/>
  <c r="K65" i="30"/>
  <c r="L25" i="32"/>
  <c r="O87" i="33"/>
  <c r="K18" i="23"/>
  <c r="N79" i="4"/>
  <c r="K98" i="31"/>
  <c r="M118" i="5"/>
  <c r="K92" i="27"/>
  <c r="M128" i="30"/>
  <c r="O49" i="32"/>
  <c r="O43" i="10"/>
  <c r="K152" i="5"/>
  <c r="O40" i="29"/>
  <c r="K142" i="23"/>
  <c r="K165"/>
  <c r="M74" i="10"/>
  <c r="O11" i="28"/>
  <c r="N72" i="21"/>
  <c r="L88" i="1"/>
  <c r="M18" i="3"/>
  <c r="O5" i="9"/>
  <c r="M60" i="27"/>
  <c r="M172" i="17"/>
  <c r="N63"/>
  <c r="N126" i="18"/>
  <c r="L19" i="3"/>
  <c r="M176" i="18"/>
  <c r="N110" i="33"/>
  <c r="K126" i="4"/>
  <c r="K54" i="17"/>
  <c r="N183" i="11"/>
  <c r="L129" i="6"/>
  <c r="N44" i="16"/>
  <c r="O56" i="27"/>
  <c r="N101" i="11"/>
  <c r="N128" i="17"/>
  <c r="M47" i="22"/>
  <c r="N14"/>
  <c r="K9" i="25"/>
  <c r="M185" i="5"/>
  <c r="K28" i="28"/>
  <c r="K19" i="23"/>
  <c r="L121" i="17"/>
  <c r="N71" i="4"/>
  <c r="N3" i="6"/>
  <c r="N161" i="32"/>
  <c r="O132" i="29"/>
  <c r="N166" i="30"/>
  <c r="M158" i="29"/>
  <c r="M106" i="24"/>
  <c r="K26" i="12"/>
  <c r="L178" i="20"/>
  <c r="K5" i="25"/>
  <c r="O126" i="29"/>
  <c r="O130" i="15"/>
  <c r="O178" i="22"/>
  <c r="L29" i="29"/>
  <c r="L86" i="10"/>
  <c r="K181" i="27"/>
  <c r="N15" i="17"/>
  <c r="L89" i="20"/>
  <c r="K116" i="24"/>
  <c r="O5" i="30"/>
  <c r="O176" i="18"/>
  <c r="N171" i="29"/>
  <c r="O92" i="31"/>
  <c r="O168" i="12"/>
  <c r="N143" i="15"/>
  <c r="O79" i="3"/>
  <c r="M129" i="22"/>
  <c r="O60" i="6"/>
  <c r="O152" i="3"/>
  <c r="N169" i="4"/>
  <c r="N126" i="6"/>
  <c r="N113" i="23"/>
  <c r="O121" i="30"/>
  <c r="K43" i="1"/>
  <c r="M24" i="15"/>
  <c r="N119" i="4"/>
  <c r="K33" i="25"/>
  <c r="O58" i="28"/>
  <c r="K69" i="10"/>
  <c r="O100" i="23"/>
  <c r="L152" i="21"/>
  <c r="O54" i="32"/>
  <c r="N77" i="30"/>
  <c r="M141" i="27"/>
  <c r="M125" i="2"/>
  <c r="O78" i="4"/>
  <c r="L84"/>
  <c r="K31" i="29"/>
  <c r="N150" i="16"/>
  <c r="K76" i="4"/>
  <c r="K61" i="10"/>
  <c r="O110" i="15"/>
  <c r="O145" i="27"/>
  <c r="K33" i="3"/>
  <c r="N6" i="17"/>
  <c r="M162"/>
  <c r="K157" i="21"/>
  <c r="N52" i="26"/>
  <c r="K117" i="5"/>
  <c r="O155" i="17"/>
  <c r="O68" i="21"/>
  <c r="M158" i="23"/>
  <c r="O111" i="11"/>
  <c r="N133" i="23"/>
  <c r="L140" i="22"/>
  <c r="M118" i="9"/>
  <c r="L30" i="15"/>
  <c r="N116" i="23"/>
  <c r="O153" i="30"/>
  <c r="N53" i="18"/>
  <c r="L181" i="33"/>
  <c r="L13" i="28"/>
  <c r="K93" i="33"/>
  <c r="O77" i="29"/>
  <c r="K163" i="31"/>
  <c r="K3" i="19"/>
  <c r="M18" i="9"/>
  <c r="K145" i="29"/>
  <c r="M21" i="32"/>
  <c r="L46" i="31"/>
  <c r="N51" i="27"/>
  <c r="N87" i="21"/>
  <c r="M89" i="16"/>
  <c r="N78" i="17"/>
  <c r="N26" i="32"/>
  <c r="N118" i="18"/>
  <c r="M52" i="27"/>
  <c r="N169" i="10"/>
  <c r="O149" i="1"/>
  <c r="N71" i="3"/>
  <c r="L16" i="4"/>
  <c r="N125" i="31"/>
  <c r="K128" i="30"/>
  <c r="N101" i="5"/>
  <c r="N75" i="11"/>
  <c r="L110" i="15"/>
  <c r="M53" i="33"/>
  <c r="O116" i="21"/>
  <c r="O16" i="1"/>
  <c r="O161" i="9"/>
  <c r="K76" i="16"/>
  <c r="N15" i="22"/>
  <c r="K53" i="25"/>
  <c r="N174" i="31"/>
  <c r="K123" i="27"/>
  <c r="N151" i="10"/>
  <c r="K160" i="1"/>
  <c r="N92" i="29"/>
  <c r="L54" i="5"/>
  <c r="M159" i="27"/>
  <c r="K97" i="11"/>
  <c r="K165" i="1"/>
  <c r="N29" i="11"/>
  <c r="L14" i="29"/>
  <c r="M115" i="26"/>
  <c r="L109" i="17"/>
  <c r="M172" i="12"/>
  <c r="M155" i="1"/>
  <c r="O34" i="23"/>
  <c r="L128" i="32"/>
  <c r="O87" i="21"/>
  <c r="K168" i="29"/>
  <c r="N69" i="6"/>
  <c r="N5" i="32"/>
  <c r="N170" i="3"/>
  <c r="L19" i="25"/>
  <c r="N28" i="16"/>
  <c r="L143" i="33"/>
  <c r="K76" i="32"/>
  <c r="L67" i="21"/>
  <c r="O3" i="32"/>
  <c r="K14"/>
  <c r="N120" i="22"/>
  <c r="L35" i="23"/>
  <c r="L159" i="10"/>
  <c r="N146" i="9"/>
  <c r="M147" i="27"/>
  <c r="K97" i="10"/>
  <c r="L132" i="22"/>
  <c r="M95" i="15"/>
  <c r="K144" i="30"/>
  <c r="N121" i="18"/>
  <c r="L140" i="30"/>
  <c r="O110" i="4"/>
  <c r="L39" i="26"/>
  <c r="K98" i="1"/>
  <c r="M152" i="26"/>
  <c r="L3" i="21"/>
  <c r="L9" i="22"/>
  <c r="M9" i="19"/>
  <c r="K179" i="26"/>
  <c r="K31" i="27"/>
  <c r="L34" i="1"/>
  <c r="K126" i="12"/>
  <c r="L98" i="32"/>
  <c r="O51" i="1"/>
  <c r="O179"/>
  <c r="M61" i="28"/>
  <c r="O121" i="1"/>
  <c r="L97" i="10"/>
  <c r="M50" i="6"/>
  <c r="O161" i="31"/>
  <c r="L58" i="23"/>
  <c r="M31" i="26"/>
  <c r="N47" i="11"/>
  <c r="O77" i="9"/>
  <c r="M87" i="16"/>
  <c r="M134"/>
  <c r="K154"/>
  <c r="M133" i="17"/>
  <c r="O23"/>
  <c r="O73" i="12"/>
  <c r="O184" i="4"/>
  <c r="L64" i="30"/>
  <c r="M154" i="20"/>
  <c r="M155" i="2"/>
  <c r="M170" i="28"/>
  <c r="O64" i="12"/>
  <c r="M33" i="19"/>
  <c r="L38" i="15"/>
  <c r="K166" i="5"/>
  <c r="K81" i="12"/>
  <c r="K84" i="15"/>
  <c r="M132" i="5"/>
  <c r="O178" i="9"/>
  <c r="M14" i="19"/>
  <c r="O20" i="12"/>
  <c r="M182" i="3"/>
  <c r="L30" i="11"/>
  <c r="M35" i="6"/>
  <c r="L181" i="10"/>
  <c r="K43" i="22"/>
  <c r="K115" i="12"/>
  <c r="M72" i="11"/>
  <c r="N136" i="16"/>
  <c r="N118" i="17"/>
  <c r="M115" i="30"/>
  <c r="N146" i="22"/>
  <c r="N179" i="28"/>
  <c r="L87" i="23"/>
  <c r="K180" i="4"/>
  <c r="N64" i="5"/>
  <c r="N84" i="31"/>
  <c r="O134" i="16"/>
  <c r="K158" i="12"/>
  <c r="O185" i="32"/>
  <c r="O152" i="27"/>
  <c r="M144" i="23"/>
  <c r="N146" i="17"/>
  <c r="M162" i="19"/>
  <c r="N181" i="23"/>
  <c r="K87" i="6"/>
  <c r="N174" i="18"/>
  <c r="M116" i="15"/>
  <c r="L37" i="18"/>
  <c r="N130" i="12"/>
  <c r="K137" i="4"/>
  <c r="O102" i="24"/>
  <c r="L155" i="16"/>
  <c r="N179" i="6"/>
  <c r="K84" i="24"/>
  <c r="K134" i="11"/>
  <c r="O96" i="3"/>
  <c r="K119" i="32"/>
  <c r="N132" i="33"/>
  <c r="M18" i="5"/>
  <c r="L57" i="33"/>
  <c r="M76" i="32"/>
  <c r="L141" i="3"/>
  <c r="M176" i="20"/>
  <c r="M154" i="31"/>
  <c r="M23" i="3"/>
  <c r="M42" i="28"/>
  <c r="M185" i="9"/>
  <c r="L147" i="3"/>
  <c r="N147" i="4"/>
  <c r="L20" i="18"/>
  <c r="M50" i="15"/>
  <c r="M111" i="29"/>
  <c r="M121" i="23"/>
  <c r="K9"/>
  <c r="K116" i="2"/>
  <c r="L38" i="28"/>
  <c r="K21" i="3"/>
  <c r="K144" i="25"/>
  <c r="N6" i="3"/>
  <c r="N35" i="16"/>
  <c r="N182" i="30"/>
  <c r="N56" i="19"/>
  <c r="O180" i="33"/>
  <c r="K148" i="32"/>
  <c r="O57" i="30"/>
  <c r="L44" i="22"/>
  <c r="N96"/>
  <c r="K28" i="32"/>
  <c r="M108" i="11"/>
  <c r="K49" i="10"/>
  <c r="M178" i="16"/>
  <c r="O20" i="2"/>
  <c r="N123" i="30"/>
  <c r="M28"/>
  <c r="O19" i="33"/>
  <c r="M117" i="15"/>
  <c r="O170" i="30"/>
  <c r="O75" i="4"/>
  <c r="K15" i="23"/>
  <c r="O30" i="2"/>
  <c r="L184" i="23"/>
  <c r="L129" i="3"/>
  <c r="O107" i="5"/>
  <c r="M173" i="19"/>
  <c r="M137" i="23"/>
  <c r="N141" i="11"/>
  <c r="L171" i="16"/>
  <c r="L119" i="27"/>
  <c r="N73" i="3"/>
  <c r="N14" i="31"/>
  <c r="L136" i="27"/>
  <c r="O132" i="23"/>
  <c r="O178" i="3"/>
  <c r="M3" i="21"/>
  <c r="O165" i="33"/>
  <c r="L127" i="5"/>
  <c r="O117" i="18"/>
  <c r="N166" i="22"/>
  <c r="M71" i="31"/>
  <c r="L53" i="27"/>
  <c r="O13"/>
  <c r="K54" i="1"/>
  <c r="N72" i="6"/>
  <c r="M49" i="5"/>
  <c r="K19" i="16"/>
  <c r="M44" i="23"/>
  <c r="K9" i="27"/>
  <c r="L46" i="29"/>
  <c r="O29" i="10"/>
  <c r="O98" i="17"/>
  <c r="L117" i="29"/>
  <c r="K15"/>
  <c r="M176" i="9"/>
  <c r="L140" i="21"/>
  <c r="N45" i="1"/>
  <c r="K19" i="5"/>
  <c r="L176" i="23"/>
  <c r="K20" i="17"/>
  <c r="M125" i="27"/>
  <c r="N15" i="9"/>
  <c r="L110" i="6"/>
  <c r="M143" i="28"/>
  <c r="N19" i="22"/>
  <c r="M26" i="20"/>
  <c r="O49" i="29"/>
  <c r="K93" i="25"/>
  <c r="O56" i="31"/>
  <c r="K152" i="6"/>
  <c r="N40" i="33"/>
  <c r="N4" i="16"/>
  <c r="O30" i="3"/>
  <c r="M19" i="22"/>
  <c r="O74" i="20"/>
  <c r="O85" i="31"/>
  <c r="K43" i="17"/>
  <c r="N96" i="3"/>
  <c r="K47" i="12"/>
  <c r="N44" i="19"/>
  <c r="K30" i="29"/>
  <c r="L4" i="25"/>
  <c r="O9" i="11"/>
  <c r="M150" i="22"/>
  <c r="K168" i="6"/>
  <c r="O23" i="27"/>
  <c r="K118" i="31"/>
  <c r="N51" i="22"/>
  <c r="L50" i="25"/>
  <c r="L80" i="32"/>
  <c r="M77" i="3"/>
  <c r="L146" i="1"/>
  <c r="O136" i="4"/>
  <c r="O35" i="6"/>
  <c r="K181" i="2"/>
  <c r="O172" i="9"/>
  <c r="N110" i="17"/>
  <c r="K167" i="1"/>
  <c r="N40" i="22"/>
  <c r="K173" i="5"/>
  <c r="O30" i="31"/>
  <c r="M69" i="25"/>
  <c r="O69" i="15"/>
  <c r="L178" i="6"/>
  <c r="K173" i="11"/>
  <c r="L16" i="3"/>
  <c r="K167" i="20"/>
  <c r="O35" i="28"/>
  <c r="K56" i="6"/>
  <c r="L81" i="10"/>
  <c r="N110" i="15"/>
  <c r="N57"/>
  <c r="N133" i="25"/>
  <c r="M149" i="27"/>
  <c r="O28" i="33"/>
  <c r="L31" i="5"/>
  <c r="L10" i="1"/>
  <c r="O160" i="4"/>
  <c r="M167" i="19"/>
  <c r="K185" i="18"/>
  <c r="N109" i="17"/>
  <c r="M102" i="5"/>
  <c r="K42" i="31"/>
  <c r="K153" i="30"/>
  <c r="K115" i="26"/>
  <c r="M147" i="9"/>
  <c r="K151" i="32"/>
  <c r="M125" i="1"/>
  <c r="N147" i="32"/>
  <c r="M84" i="23"/>
  <c r="L143"/>
  <c r="L181" i="6"/>
  <c r="M183" i="3"/>
  <c r="K155" i="16"/>
  <c r="O169" i="17"/>
  <c r="M154" i="1"/>
  <c r="N173" i="20"/>
  <c r="L140" i="17"/>
  <c r="M135" i="3"/>
  <c r="M123" i="33"/>
  <c r="O91" i="24"/>
  <c r="L174" i="33"/>
  <c r="M169" i="19"/>
  <c r="M24" i="10"/>
  <c r="M129" i="32"/>
  <c r="O46" i="4"/>
  <c r="O79" i="23"/>
  <c r="O64"/>
  <c r="M61" i="5"/>
  <c r="M19" i="10"/>
  <c r="N180" i="3"/>
  <c r="N77" i="11"/>
  <c r="O80" i="29"/>
  <c r="L180" i="5"/>
  <c r="L91" i="15"/>
  <c r="L93" i="30"/>
  <c r="K16" i="17"/>
  <c r="L29" i="10"/>
  <c r="M37" i="1"/>
  <c r="K184" i="5"/>
  <c r="M169" i="23"/>
  <c r="L65" i="3"/>
  <c r="O181" i="17"/>
  <c r="L57" i="3"/>
  <c r="O181" i="1"/>
  <c r="O149" i="25"/>
  <c r="O122" i="32"/>
  <c r="K137" i="22"/>
  <c r="N168" i="1"/>
  <c r="K10" i="16"/>
  <c r="N153" i="3"/>
  <c r="M8" i="5"/>
  <c r="M65" i="22"/>
  <c r="N159" i="5"/>
  <c r="L167" i="22"/>
  <c r="L63" i="32"/>
  <c r="L42" i="30"/>
  <c r="O106" i="9"/>
  <c r="L129"/>
  <c r="N147" i="1"/>
  <c r="N141" i="27"/>
  <c r="N56" i="11"/>
  <c r="K14" i="23"/>
  <c r="O100" i="1"/>
  <c r="M26" i="19"/>
  <c r="M155" i="30"/>
  <c r="K119" i="17"/>
  <c r="N29" i="10"/>
  <c r="L34" i="9"/>
  <c r="M21" i="17"/>
  <c r="M173" i="2"/>
  <c r="K109" i="16"/>
  <c r="L58" i="2"/>
  <c r="O15" i="32"/>
  <c r="O182" i="17"/>
  <c r="K143" i="3"/>
  <c r="O181" i="10"/>
  <c r="M59" i="29"/>
  <c r="K115" i="9"/>
  <c r="O67" i="22"/>
  <c r="O161" i="21"/>
  <c r="L127" i="27"/>
  <c r="M11" i="18"/>
  <c r="M111" i="6"/>
  <c r="O144" i="30"/>
  <c r="O3" i="1"/>
  <c r="L95"/>
  <c r="K182" i="12"/>
  <c r="M85" i="17"/>
  <c r="L61" i="33"/>
  <c r="M54" i="24"/>
  <c r="K92" i="30"/>
  <c r="O177" i="15"/>
  <c r="O34" i="1"/>
  <c r="M159" i="17"/>
  <c r="K134"/>
  <c r="L117" i="10"/>
  <c r="M53" i="20"/>
  <c r="L58" i="9"/>
  <c r="L18" i="18"/>
  <c r="K148" i="3"/>
  <c r="K30"/>
  <c r="M66" i="5"/>
  <c r="N19" i="9"/>
  <c r="K146" i="6"/>
  <c r="O163" i="1"/>
  <c r="K20" i="30"/>
  <c r="K96" i="27"/>
  <c r="K122" i="33"/>
  <c r="M102" i="17"/>
  <c r="M172" i="10"/>
  <c r="M170" i="17"/>
  <c r="M161" i="25"/>
  <c r="L170" i="28"/>
  <c r="O9" i="25"/>
  <c r="K65" i="22"/>
  <c r="O11" i="32"/>
  <c r="K60" i="10"/>
  <c r="O19" i="21"/>
  <c r="O29" i="23"/>
  <c r="N37" i="15"/>
  <c r="M130" i="21"/>
  <c r="K140" i="16"/>
  <c r="N94" i="24"/>
  <c r="L52" i="32"/>
  <c r="K157" i="16"/>
  <c r="K79" i="22"/>
  <c r="O107" i="3"/>
  <c r="M30" i="23"/>
  <c r="O57" i="1"/>
  <c r="O71" i="32"/>
  <c r="K140" i="21"/>
  <c r="O79" i="30"/>
  <c r="M73" i="24"/>
  <c r="O169" i="32"/>
  <c r="O91" i="16"/>
  <c r="N37" i="25"/>
  <c r="M117" i="11"/>
  <c r="M39" i="30"/>
  <c r="K101" i="5"/>
  <c r="O87" i="11"/>
  <c r="O174" i="30"/>
  <c r="L95" i="16"/>
  <c r="N56" i="4"/>
  <c r="O69" i="32"/>
  <c r="O145" i="9"/>
  <c r="O185" i="20"/>
  <c r="L26" i="22"/>
  <c r="K132" i="11"/>
  <c r="M141" i="32"/>
  <c r="N89" i="28"/>
  <c r="N142" i="23"/>
  <c r="O40" i="22"/>
  <c r="M75" i="26"/>
  <c r="O133" i="16"/>
  <c r="O160" i="6"/>
  <c r="N109" i="30"/>
  <c r="L19" i="33"/>
  <c r="N64" i="9"/>
  <c r="M31" i="17"/>
  <c r="L52" i="1"/>
  <c r="O66" i="32"/>
  <c r="O128" i="22"/>
  <c r="N165" i="12"/>
  <c r="L92" i="29"/>
  <c r="L97"/>
  <c r="K161" i="28"/>
  <c r="O142" i="10"/>
  <c r="N136" i="6"/>
  <c r="O135" i="15"/>
  <c r="O165" i="18"/>
  <c r="N59" i="9"/>
  <c r="L107" i="2"/>
  <c r="K181" i="31"/>
  <c r="K134" i="16"/>
  <c r="O53" i="1"/>
  <c r="O176" i="2"/>
  <c r="L137" i="9"/>
  <c r="O76" i="33"/>
  <c r="M123" i="32"/>
  <c r="K181" i="6"/>
  <c r="O185" i="5"/>
  <c r="L159" i="9"/>
  <c r="K125" i="11"/>
  <c r="K109" i="22"/>
  <c r="O130" i="21"/>
  <c r="K94" i="25"/>
  <c r="N77" i="9"/>
  <c r="O117" i="19"/>
  <c r="K28" i="27"/>
  <c r="K88" i="31"/>
  <c r="O111" i="27"/>
  <c r="L115" i="26"/>
  <c r="N73" i="5"/>
  <c r="O77" i="3"/>
  <c r="K84" i="25"/>
  <c r="O47" i="29"/>
  <c r="L53" i="26"/>
  <c r="O3" i="22"/>
  <c r="M172" i="31"/>
  <c r="L54" i="23"/>
  <c r="N93" i="27"/>
  <c r="L163" i="30"/>
  <c r="M21" i="24"/>
  <c r="O121" i="6"/>
  <c r="L68" i="29"/>
  <c r="L158" i="10"/>
  <c r="L135" i="21"/>
  <c r="N108" i="9"/>
  <c r="K107" i="21"/>
  <c r="L127" i="24"/>
  <c r="K167" i="22"/>
  <c r="O78" i="15"/>
  <c r="K46" i="30"/>
  <c r="L146" i="18"/>
  <c r="L134" i="25"/>
  <c r="K20" i="9"/>
  <c r="K143" i="30"/>
  <c r="O57" i="27"/>
  <c r="M150" i="29"/>
  <c r="K14" i="31"/>
  <c r="L128" i="2"/>
  <c r="K162" i="12"/>
  <c r="M180" i="1"/>
  <c r="O154" i="10"/>
  <c r="L46" i="16"/>
  <c r="L179" i="4"/>
  <c r="O18" i="20"/>
  <c r="O84" i="4"/>
  <c r="M66" i="20"/>
  <c r="K89" i="24"/>
  <c r="O60" i="1"/>
  <c r="M141" i="6"/>
  <c r="K142" i="15"/>
  <c r="O148" i="24"/>
  <c r="L92" i="30"/>
  <c r="L13" i="19"/>
  <c r="L128" i="27"/>
  <c r="O181" i="28"/>
  <c r="M66" i="18"/>
  <c r="N92" i="31"/>
  <c r="L53" i="11"/>
  <c r="O150" i="24"/>
  <c r="K92" i="1"/>
  <c r="M35" i="33"/>
  <c r="L182" i="22"/>
  <c r="M40" i="9"/>
  <c r="K64" i="1"/>
  <c r="M144" i="25"/>
  <c r="N46" i="23"/>
  <c r="L63" i="33"/>
  <c r="L140" i="6"/>
  <c r="O182" i="9"/>
  <c r="L152" i="19"/>
  <c r="N95" i="16"/>
  <c r="M89" i="15"/>
  <c r="L66" i="5"/>
  <c r="M114" i="31"/>
  <c r="M152" i="6"/>
  <c r="O50" i="19"/>
  <c r="M178" i="18"/>
  <c r="K123" i="11"/>
  <c r="K86" i="30"/>
  <c r="M139" i="5"/>
  <c r="M148" i="6"/>
  <c r="N98" i="24"/>
  <c r="N33" i="5"/>
  <c r="N152" i="19"/>
  <c r="K184" i="11"/>
  <c r="L169" i="24"/>
  <c r="L134" i="32"/>
  <c r="K123" i="2"/>
  <c r="M179" i="9"/>
  <c r="M25" i="27"/>
  <c r="O49" i="21"/>
  <c r="N94" i="9"/>
  <c r="M142" i="33"/>
  <c r="O96" i="21"/>
  <c r="K129" i="1"/>
  <c r="L49" i="27"/>
  <c r="M6" i="15"/>
  <c r="K71" i="3"/>
  <c r="K143" i="15"/>
  <c r="N167" i="5"/>
  <c r="L183"/>
  <c r="K123" i="23"/>
  <c r="M73" i="3"/>
  <c r="L126" i="9"/>
  <c r="L4" i="5"/>
  <c r="M179" i="6"/>
  <c r="O163" i="20"/>
  <c r="M106" i="9"/>
  <c r="O143" i="6"/>
  <c r="O159" i="18"/>
  <c r="N150" i="3"/>
  <c r="L87" i="24"/>
  <c r="M165" i="22"/>
  <c r="N19" i="1"/>
  <c r="K34" i="27"/>
  <c r="O9" i="21"/>
  <c r="K60" i="23"/>
  <c r="L3" i="17"/>
  <c r="L117" i="3"/>
  <c r="M141" i="9"/>
  <c r="N133" i="32"/>
  <c r="O143" i="25"/>
  <c r="N152" i="3"/>
  <c r="K60"/>
  <c r="N155" i="19"/>
  <c r="M166" i="31"/>
  <c r="K174" i="33"/>
  <c r="L135" i="5"/>
  <c r="K63" i="15"/>
  <c r="N118" i="6"/>
  <c r="O155" i="33"/>
  <c r="M15" i="1"/>
  <c r="K129" i="6"/>
  <c r="K36"/>
  <c r="O4" i="22"/>
  <c r="L54" i="3"/>
  <c r="M145" i="31"/>
  <c r="K110" i="5"/>
  <c r="O152" i="19"/>
  <c r="N61" i="29"/>
  <c r="K45" i="27"/>
  <c r="L51" i="22"/>
  <c r="O110" i="33"/>
  <c r="M111" i="19"/>
  <c r="N153" i="32"/>
  <c r="M120" i="20"/>
  <c r="M99" i="29"/>
  <c r="O144" i="15"/>
  <c r="N165" i="4"/>
  <c r="K14"/>
  <c r="K114" i="11"/>
  <c r="N59" i="4"/>
  <c r="N88" i="1"/>
  <c r="M69" i="17"/>
  <c r="O101" i="23"/>
  <c r="K100"/>
  <c r="N54" i="6"/>
  <c r="K145" i="26"/>
  <c r="O56" i="2"/>
  <c r="N160" i="27"/>
  <c r="K33" i="31"/>
  <c r="K40" i="11"/>
  <c r="K26" i="6"/>
  <c r="N6" i="10"/>
  <c r="M3" i="15"/>
  <c r="L111" i="26"/>
  <c r="M88" i="27"/>
  <c r="M10" i="32"/>
  <c r="O45" i="16"/>
  <c r="K5" i="30"/>
  <c r="L95" i="22"/>
  <c r="N168" i="19"/>
  <c r="O101" i="33"/>
  <c r="M20" i="10"/>
  <c r="K88" i="2"/>
  <c r="L29" i="3"/>
  <c r="K36" i="32"/>
  <c r="N95" i="6"/>
  <c r="L98" i="5"/>
  <c r="K158" i="30"/>
  <c r="O116" i="10"/>
  <c r="M142" i="20"/>
  <c r="O67" i="12"/>
  <c r="M75" i="17"/>
  <c r="N137" i="10"/>
  <c r="N80" i="12"/>
  <c r="M127" i="6"/>
  <c r="O34" i="15"/>
  <c r="O81" i="5"/>
  <c r="K131" i="2"/>
  <c r="O117" i="15"/>
  <c r="O39" i="12"/>
  <c r="L94" i="9"/>
  <c r="K137" i="19"/>
  <c r="O25" i="30"/>
  <c r="O84" i="27"/>
  <c r="L9" i="9"/>
  <c r="L79" i="31"/>
  <c r="N99" i="11"/>
  <c r="O153" i="22"/>
  <c r="K150" i="29"/>
  <c r="N43" i="23"/>
  <c r="M102"/>
  <c r="O54" i="27"/>
  <c r="N163" i="5"/>
  <c r="M51" i="31"/>
  <c r="K134" i="6"/>
  <c r="O82" i="18"/>
  <c r="O158" i="2"/>
  <c r="N122" i="11"/>
  <c r="M40" i="20"/>
  <c r="M50" i="32"/>
  <c r="K141" i="30"/>
  <c r="N116" i="25"/>
  <c r="K11" i="27"/>
  <c r="M115" i="18"/>
  <c r="K9" i="20"/>
  <c r="M171" i="9"/>
  <c r="O167" i="27"/>
  <c r="N81" i="20"/>
  <c r="L122" i="33"/>
  <c r="M178" i="3"/>
  <c r="L165" i="20"/>
  <c r="N15" i="10"/>
  <c r="K81" i="29"/>
  <c r="O6" i="25"/>
  <c r="N136" i="9"/>
  <c r="N97" i="27"/>
  <c r="K128" i="2"/>
  <c r="K37" i="26"/>
  <c r="M67" i="21"/>
  <c r="L134" i="17"/>
  <c r="K24" i="5"/>
  <c r="O29" i="17"/>
  <c r="L29" i="21"/>
  <c r="L52"/>
  <c r="L168" i="30"/>
  <c r="O168" i="31"/>
  <c r="K171"/>
  <c r="L128" i="11"/>
  <c r="O29" i="19"/>
  <c r="O16" i="18"/>
  <c r="K165" i="6"/>
  <c r="K95" i="21"/>
  <c r="M47" i="28"/>
  <c r="L76" i="5"/>
  <c r="M121" i="16"/>
  <c r="L9" i="11"/>
  <c r="N122" i="1"/>
  <c r="K141" i="26"/>
  <c r="O47" i="5"/>
  <c r="N5" i="31"/>
  <c r="N128" i="9"/>
  <c r="L125" i="3"/>
  <c r="K169" i="19"/>
  <c r="L8" i="15"/>
  <c r="O28" i="5"/>
  <c r="O10" i="9"/>
  <c r="O47" i="15"/>
  <c r="L115" i="33"/>
  <c r="M23" i="31"/>
  <c r="O146"/>
  <c r="L5" i="27"/>
  <c r="L158" i="21"/>
  <c r="L183" i="23"/>
  <c r="O129" i="5"/>
  <c r="K176" i="6"/>
  <c r="N135" i="15"/>
  <c r="N119" i="19"/>
  <c r="O87" i="24"/>
  <c r="O92" i="21"/>
  <c r="M185" i="6"/>
  <c r="M51" i="3"/>
  <c r="M33" i="10"/>
  <c r="L14" i="19"/>
  <c r="N130" i="32"/>
  <c r="L165" i="21"/>
  <c r="K118" i="18"/>
  <c r="O60" i="29"/>
  <c r="N42" i="18"/>
  <c r="M140" i="28"/>
  <c r="K173" i="25"/>
  <c r="O110" i="20"/>
  <c r="N128" i="24"/>
  <c r="L86" i="3"/>
  <c r="K53" i="18"/>
  <c r="N81" i="15"/>
  <c r="L65" i="32"/>
  <c r="L100" i="19"/>
  <c r="N125" i="6"/>
  <c r="L84" i="26"/>
  <c r="M140" i="30"/>
  <c r="K19" i="18"/>
  <c r="K162" i="28"/>
  <c r="M140" i="23"/>
  <c r="K176" i="28"/>
  <c r="O25" i="1"/>
  <c r="K40" i="15"/>
  <c r="K111" i="32"/>
  <c r="K179" i="2"/>
  <c r="L81" i="17"/>
  <c r="L117" i="16"/>
  <c r="K113" i="5"/>
  <c r="N58" i="22"/>
  <c r="K132" i="21"/>
  <c r="M158" i="20"/>
  <c r="O158" i="1"/>
  <c r="M86" i="16"/>
  <c r="M65" i="11"/>
  <c r="K53" i="33"/>
  <c r="K185" i="25"/>
  <c r="N56" i="23"/>
  <c r="M169" i="9"/>
  <c r="K77" i="32"/>
  <c r="O44" i="31"/>
  <c r="K113"/>
  <c r="K31"/>
  <c r="O18" i="17"/>
  <c r="K114" i="29"/>
  <c r="O127" i="33"/>
  <c r="K151" i="31"/>
  <c r="N89" i="6"/>
  <c r="K68" i="30"/>
  <c r="K145" i="33"/>
  <c r="L81" i="23"/>
  <c r="M44" i="25"/>
  <c r="M182" i="10"/>
  <c r="O101" i="2"/>
  <c r="M18" i="19"/>
  <c r="O123" i="6"/>
  <c r="N161" i="5"/>
  <c r="L170" i="2"/>
  <c r="L93" i="11"/>
  <c r="L23" i="2"/>
  <c r="M101" i="5"/>
  <c r="N49" i="1"/>
  <c r="N4"/>
  <c r="L146" i="23"/>
  <c r="M69" i="33"/>
  <c r="K100" i="11"/>
  <c r="N121" i="28"/>
  <c r="O8" i="1"/>
  <c r="L117" i="17"/>
  <c r="K54" i="9"/>
  <c r="L49" i="24"/>
  <c r="K54" i="27"/>
  <c r="K20" i="29"/>
  <c r="N142" i="22"/>
  <c r="N4" i="9"/>
  <c r="O115" i="33"/>
  <c r="O154" i="5"/>
  <c r="M107"/>
  <c r="K34" i="29"/>
  <c r="O74" i="6"/>
  <c r="O21" i="22"/>
  <c r="M59" i="25"/>
  <c r="M98" i="22"/>
  <c r="M176" i="5"/>
  <c r="K149" i="23"/>
  <c r="L182"/>
  <c r="L119" i="3"/>
  <c r="L3" i="11"/>
  <c r="N120" i="30"/>
  <c r="K110" i="20"/>
  <c r="N113" i="29"/>
  <c r="N127" i="23"/>
  <c r="O54" i="19"/>
  <c r="K37" i="6"/>
  <c r="K115" i="31"/>
  <c r="O185" i="30"/>
  <c r="L3" i="31"/>
  <c r="N46" i="20"/>
  <c r="O167" i="3"/>
  <c r="N20" i="25"/>
  <c r="L65" i="1"/>
  <c r="N86" i="24"/>
  <c r="M51" i="10"/>
  <c r="O150" i="12"/>
  <c r="N28" i="3"/>
  <c r="M84" i="29"/>
  <c r="M165" i="6"/>
  <c r="M167" i="15"/>
  <c r="K112" i="6"/>
  <c r="K54" i="26"/>
  <c r="L155" i="23"/>
  <c r="M185" i="3"/>
  <c r="N63" i="30"/>
  <c r="M38" i="16"/>
  <c r="M114" i="15"/>
  <c r="O45" i="9"/>
  <c r="L129" i="18"/>
  <c r="O119" i="20"/>
  <c r="M132" i="16"/>
  <c r="L154" i="5"/>
  <c r="L144" i="27"/>
  <c r="O133" i="12"/>
  <c r="L21" i="11"/>
  <c r="M74" i="24"/>
  <c r="N165" i="15"/>
  <c r="M23" i="20"/>
  <c r="N107" i="24"/>
  <c r="O30" i="29"/>
  <c r="M181" i="17"/>
  <c r="M185" i="21"/>
  <c r="N176" i="10"/>
  <c r="L28" i="26"/>
  <c r="K69" i="1"/>
  <c r="M61" i="3"/>
  <c r="L51" i="17"/>
  <c r="O15" i="10"/>
  <c r="N117" i="27"/>
  <c r="L4" i="10"/>
  <c r="K58" i="18"/>
  <c r="O170" i="16"/>
  <c r="K25" i="29"/>
  <c r="K159" i="24"/>
  <c r="N113" i="27"/>
  <c r="L43" i="9"/>
  <c r="L84" i="33"/>
  <c r="M94" i="19"/>
  <c r="O15" i="33"/>
  <c r="O135" i="27"/>
  <c r="M81" i="32"/>
  <c r="L144" i="16"/>
  <c r="L161" i="30"/>
  <c r="K9" i="5"/>
  <c r="L108" i="33"/>
  <c r="O14" i="9"/>
  <c r="N176"/>
  <c r="O29" i="31"/>
  <c r="N94" i="27"/>
  <c r="O177" i="1"/>
  <c r="O162" i="33"/>
  <c r="O26" i="25"/>
  <c r="N165" i="20"/>
  <c r="L111" i="1"/>
  <c r="O16" i="19"/>
  <c r="N74" i="12"/>
  <c r="K14" i="20"/>
  <c r="L74" i="12"/>
  <c r="O82" i="31"/>
  <c r="O173" i="5"/>
  <c r="O162" i="27"/>
  <c r="N26"/>
  <c r="K45" i="31"/>
  <c r="L171" i="6"/>
  <c r="K99" i="31"/>
  <c r="K8" i="32"/>
  <c r="M130" i="1"/>
  <c r="N3" i="10"/>
  <c r="N87" i="24"/>
  <c r="M155" i="16"/>
  <c r="N112"/>
  <c r="K114" i="22"/>
  <c r="N185" i="25"/>
  <c r="K84" i="19"/>
  <c r="N127" i="10"/>
  <c r="L121" i="33"/>
  <c r="M133" i="32"/>
  <c r="N37" i="29"/>
  <c r="N16" i="22"/>
  <c r="O72" i="18"/>
  <c r="N14" i="5"/>
  <c r="M66" i="9"/>
  <c r="K80"/>
  <c r="L49" i="4"/>
  <c r="M94" i="9"/>
  <c r="M96"/>
  <c r="L38" i="10"/>
  <c r="L129" i="2"/>
  <c r="K61" i="26"/>
  <c r="N5" i="30"/>
  <c r="L31" i="17"/>
  <c r="K158" i="16"/>
  <c r="N149" i="12"/>
  <c r="N119" i="16"/>
  <c r="N89" i="30"/>
  <c r="N176" i="4"/>
  <c r="L42" i="27"/>
  <c r="N95" i="29"/>
  <c r="M97" i="33"/>
  <c r="O97" i="24"/>
  <c r="L109" i="25"/>
  <c r="K49" i="22"/>
  <c r="M16"/>
  <c r="N63" i="15"/>
  <c r="L46" i="25"/>
  <c r="L23" i="31"/>
  <c r="N129" i="16"/>
  <c r="L45" i="33"/>
  <c r="L123" i="22"/>
  <c r="K141" i="17"/>
  <c r="N172" i="12"/>
  <c r="M119" i="22"/>
  <c r="K155" i="26"/>
  <c r="L20" i="2"/>
  <c r="K169" i="27"/>
  <c r="N172" i="32"/>
  <c r="K106" i="33"/>
  <c r="L18" i="19"/>
  <c r="N53" i="9"/>
  <c r="K80" i="20"/>
  <c r="L125" i="17"/>
  <c r="K108" i="19"/>
  <c r="L133" i="17"/>
  <c r="O161"/>
  <c r="M63" i="27"/>
  <c r="M71" i="4"/>
  <c r="N106" i="30"/>
  <c r="K136" i="28"/>
  <c r="M85" i="3"/>
  <c r="O75" i="20"/>
  <c r="K180" i="25"/>
  <c r="M163" i="6"/>
  <c r="M44" i="19"/>
  <c r="O15" i="16"/>
  <c r="M46" i="22"/>
  <c r="N160" i="6"/>
  <c r="K76" i="3"/>
  <c r="M65" i="16"/>
  <c r="L153" i="15"/>
  <c r="L31" i="11"/>
  <c r="L114" i="20"/>
  <c r="N176" i="18"/>
  <c r="L184" i="33"/>
  <c r="M165" i="29"/>
  <c r="K82" i="16"/>
  <c r="M110" i="2"/>
  <c r="N102" i="4"/>
  <c r="L121" i="3"/>
  <c r="K61" i="33"/>
  <c r="L141" i="28"/>
  <c r="K177" i="17"/>
  <c r="L136" i="31"/>
  <c r="M81" i="22"/>
  <c r="L59" i="6"/>
  <c r="M143" i="24"/>
  <c r="N94" i="33"/>
  <c r="K131" i="30"/>
  <c r="K57" i="27"/>
  <c r="O52" i="25"/>
  <c r="M174" i="19"/>
  <c r="N117" i="9"/>
  <c r="O71" i="3"/>
  <c r="K115" i="16"/>
  <c r="K65" i="20"/>
  <c r="M77" i="28"/>
  <c r="N133" i="20"/>
  <c r="O154" i="32"/>
  <c r="M180" i="11"/>
  <c r="O174" i="9"/>
  <c r="M176" i="23"/>
  <c r="N58" i="25"/>
  <c r="O88" i="30"/>
  <c r="M131" i="9"/>
  <c r="K85" i="26"/>
  <c r="K6" i="3"/>
  <c r="L169" i="12"/>
  <c r="L102" i="28"/>
  <c r="O167" i="15"/>
  <c r="K158" i="23"/>
  <c r="K119" i="16"/>
  <c r="N64" i="31"/>
  <c r="M161" i="19"/>
  <c r="O38" i="5"/>
  <c r="K99" i="30"/>
  <c r="M126" i="31"/>
  <c r="N151" i="17"/>
  <c r="O134" i="29"/>
  <c r="N170" i="27"/>
  <c r="N174"/>
  <c r="L159" i="17"/>
  <c r="N157" i="16"/>
  <c r="O76" i="9"/>
  <c r="M128" i="5"/>
  <c r="O115"/>
  <c r="K84" i="31"/>
  <c r="N115" i="15"/>
  <c r="M141" i="23"/>
  <c r="N60" i="30"/>
  <c r="O16" i="11"/>
  <c r="O58" i="15"/>
  <c r="L182" i="16"/>
  <c r="N145" i="3"/>
  <c r="L11" i="32"/>
  <c r="O176" i="16"/>
  <c r="O36" i="23"/>
  <c r="K61" i="9"/>
  <c r="K86" i="6"/>
  <c r="L38" i="27"/>
  <c r="K170" i="23"/>
  <c r="O145" i="33"/>
  <c r="N66"/>
  <c r="O147" i="9"/>
  <c r="N46" i="15"/>
  <c r="N139" i="23"/>
  <c r="M50" i="22"/>
  <c r="L119" i="19"/>
  <c r="K13" i="10"/>
  <c r="O68" i="5"/>
  <c r="K56" i="2"/>
  <c r="M30" i="29"/>
  <c r="L36" i="18"/>
  <c r="O166" i="16"/>
  <c r="K125" i="1"/>
  <c r="O82" i="23"/>
  <c r="M33" i="6"/>
  <c r="N130" i="3"/>
  <c r="L142" i="25"/>
  <c r="M71" i="15"/>
  <c r="M147" i="5"/>
  <c r="K139"/>
  <c r="L129" i="15"/>
  <c r="K64" i="11"/>
  <c r="N143" i="6"/>
  <c r="O114" i="3"/>
  <c r="K125" i="28"/>
  <c r="L178" i="16"/>
  <c r="O26" i="10"/>
  <c r="N68" i="22"/>
  <c r="L4" i="32"/>
  <c r="M10" i="1"/>
  <c r="M71" i="25"/>
  <c r="O80" i="32"/>
  <c r="O143" i="1"/>
  <c r="M18" i="29"/>
  <c r="N37" i="32"/>
  <c r="L136" i="9"/>
  <c r="N154" i="23"/>
  <c r="O91" i="31"/>
  <c r="K130" i="23"/>
  <c r="O68" i="15"/>
  <c r="K157" i="4"/>
  <c r="O56" i="5"/>
  <c r="L73" i="22"/>
  <c r="O5" i="28"/>
  <c r="O59" i="19"/>
  <c r="K68" i="33"/>
  <c r="M118" i="18"/>
  <c r="N133" i="28"/>
  <c r="K77" i="27"/>
  <c r="N68" i="6"/>
  <c r="M112"/>
  <c r="L137" i="3"/>
  <c r="O77" i="32"/>
  <c r="L185" i="22"/>
  <c r="M109" i="21"/>
  <c r="N158" i="3"/>
  <c r="L5" i="16"/>
  <c r="L173" i="1"/>
  <c r="L68" i="28"/>
  <c r="N140" i="16"/>
  <c r="L125" i="15"/>
  <c r="L45" i="29"/>
  <c r="M54" i="26"/>
  <c r="O97" i="27"/>
  <c r="M118" i="26"/>
  <c r="K74" i="18"/>
  <c r="K36" i="17"/>
  <c r="O177" i="5"/>
  <c r="K112" i="16"/>
  <c r="K54" i="32"/>
  <c r="K102" i="17"/>
  <c r="L102"/>
  <c r="O53" i="24"/>
  <c r="K180" i="19"/>
  <c r="N76" i="11"/>
  <c r="L5" i="31"/>
  <c r="O37" i="5"/>
  <c r="L88" i="30"/>
  <c r="O178" i="31"/>
  <c r="O180"/>
  <c r="L141" i="10"/>
  <c r="M177" i="27"/>
  <c r="N134" i="4"/>
  <c r="N184" i="33"/>
  <c r="L157" i="16"/>
  <c r="N30" i="10"/>
  <c r="N18" i="33"/>
  <c r="K34" i="24"/>
  <c r="M53" i="2"/>
  <c r="O132" i="28"/>
  <c r="K136" i="20"/>
  <c r="M154" i="10"/>
  <c r="L167" i="6"/>
  <c r="O106"/>
  <c r="O185" i="2"/>
  <c r="N26" i="16"/>
  <c r="O20" i="3"/>
  <c r="L147" i="32"/>
  <c r="K97" i="6"/>
  <c r="L11" i="23"/>
  <c r="M13" i="3"/>
  <c r="K137" i="11"/>
  <c r="N42" i="21"/>
  <c r="K82" i="4"/>
  <c r="N126" i="9"/>
  <c r="L150" i="17"/>
  <c r="K73" i="10"/>
  <c r="L133" i="3"/>
  <c r="N137" i="32"/>
  <c r="K98" i="11"/>
  <c r="K16" i="1"/>
  <c r="N85" i="31"/>
  <c r="L110" i="19"/>
  <c r="O4" i="27"/>
  <c r="M136" i="15"/>
  <c r="M160" i="26"/>
  <c r="N158" i="19"/>
  <c r="O121" i="18"/>
  <c r="L47" i="17"/>
  <c r="O172" i="22"/>
  <c r="L60" i="1"/>
  <c r="L9" i="27"/>
  <c r="N61" i="6"/>
  <c r="M162" i="31"/>
  <c r="N115" i="1"/>
  <c r="M54" i="29"/>
  <c r="L86" i="17"/>
  <c r="N144" i="5"/>
  <c r="N101" i="4"/>
  <c r="O21" i="17"/>
  <c r="O140" i="5"/>
  <c r="L82" i="33"/>
  <c r="N28" i="32"/>
  <c r="N100" i="33"/>
  <c r="L162" i="19"/>
  <c r="L76" i="17"/>
  <c r="K102" i="11"/>
  <c r="N46" i="28"/>
  <c r="M161" i="3"/>
  <c r="M130" i="23"/>
  <c r="N94" i="11"/>
  <c r="L6" i="10"/>
  <c r="N39" i="19"/>
  <c r="L46"/>
  <c r="K69" i="17"/>
  <c r="L118" i="29"/>
  <c r="K9" i="28"/>
  <c r="M66" i="31"/>
  <c r="K178" i="15"/>
  <c r="O46" i="6"/>
  <c r="M78" i="5"/>
  <c r="M58" i="22"/>
  <c r="K101"/>
  <c r="M31" i="3"/>
  <c r="L9" i="24"/>
  <c r="L146" i="6"/>
  <c r="M47" i="5"/>
  <c r="L69" i="6"/>
  <c r="L15" i="16"/>
  <c r="K185" i="4"/>
  <c r="M46" i="20"/>
  <c r="K73" i="24"/>
  <c r="K178" i="31"/>
  <c r="N158" i="28"/>
  <c r="AD21" i="15" l="1"/>
  <c r="AD20"/>
  <c r="AD19"/>
  <c r="AD18"/>
  <c r="AD17"/>
  <c r="AD16"/>
  <c r="AD15"/>
  <c r="AD14"/>
  <c r="AD13"/>
  <c r="AD12"/>
  <c r="AD11"/>
  <c r="AD10"/>
  <c r="AD9"/>
  <c r="AD8"/>
  <c r="AD7"/>
  <c r="AD6"/>
  <c r="AD5"/>
  <c r="AD4"/>
  <c r="AD3"/>
  <c r="AC21"/>
  <c r="AC20"/>
  <c r="AC19"/>
  <c r="AC18"/>
  <c r="AC17"/>
  <c r="AC16"/>
  <c r="AC15"/>
  <c r="AC14"/>
  <c r="AC13"/>
  <c r="AC12"/>
  <c r="AC11"/>
  <c r="AC10"/>
  <c r="AC9"/>
  <c r="AC8"/>
  <c r="AC7"/>
  <c r="AC6"/>
  <c r="AC5"/>
  <c r="AC4"/>
  <c r="AC3"/>
  <c r="AB21"/>
  <c r="AB20"/>
  <c r="AB19"/>
  <c r="AB18"/>
  <c r="AB17"/>
  <c r="AB16"/>
  <c r="AB15"/>
  <c r="AB14"/>
  <c r="AB13"/>
  <c r="AB12"/>
  <c r="AB11"/>
  <c r="AB10"/>
  <c r="AB9"/>
  <c r="AB8"/>
  <c r="AB7"/>
  <c r="AB6"/>
  <c r="AB5"/>
  <c r="AB4"/>
  <c r="AB3"/>
  <c r="X21"/>
  <c r="X20"/>
  <c r="X19"/>
  <c r="X18"/>
  <c r="X17"/>
  <c r="X16"/>
  <c r="X15"/>
  <c r="X14"/>
  <c r="X13"/>
  <c r="X12"/>
  <c r="X11"/>
  <c r="X10"/>
  <c r="X9"/>
  <c r="X8"/>
  <c r="X7"/>
  <c r="X6"/>
  <c r="X5"/>
  <c r="X4"/>
  <c r="X3"/>
  <c r="W21"/>
  <c r="W20"/>
  <c r="W19"/>
  <c r="W18"/>
  <c r="W17"/>
  <c r="W16"/>
  <c r="W15"/>
  <c r="W14"/>
  <c r="W13"/>
  <c r="W12"/>
  <c r="W11"/>
  <c r="W10"/>
  <c r="W9"/>
  <c r="W8"/>
  <c r="W7"/>
  <c r="W6"/>
  <c r="W5"/>
  <c r="W4"/>
  <c r="W3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T21"/>
  <c r="T20"/>
  <c r="T19"/>
  <c r="T18"/>
  <c r="T17"/>
  <c r="T16"/>
  <c r="T15"/>
  <c r="T14"/>
  <c r="T13"/>
  <c r="T12"/>
  <c r="T11"/>
  <c r="T10"/>
  <c r="T9"/>
  <c r="T8"/>
  <c r="T7"/>
  <c r="T6"/>
  <c r="T5"/>
  <c r="T4"/>
  <c r="T3"/>
  <c r="AD21" i="11"/>
  <c r="AD20"/>
  <c r="AD19"/>
  <c r="AD18"/>
  <c r="AD17"/>
  <c r="AD16"/>
  <c r="AD15"/>
  <c r="AD14"/>
  <c r="AD13"/>
  <c r="AD12"/>
  <c r="AD11"/>
  <c r="AD10"/>
  <c r="AD9"/>
  <c r="AD8"/>
  <c r="AD7"/>
  <c r="AD6"/>
  <c r="AD5"/>
  <c r="AD4"/>
  <c r="AD3"/>
  <c r="AC21"/>
  <c r="AC20"/>
  <c r="AC19"/>
  <c r="AC18"/>
  <c r="AC17"/>
  <c r="AC16"/>
  <c r="AC15"/>
  <c r="AC14"/>
  <c r="AC13"/>
  <c r="AC12"/>
  <c r="AC11"/>
  <c r="AC10"/>
  <c r="AC9"/>
  <c r="AC8"/>
  <c r="AC7"/>
  <c r="AC6"/>
  <c r="AC5"/>
  <c r="AC4"/>
  <c r="AC3"/>
  <c r="AB21"/>
  <c r="AB20"/>
  <c r="AB19"/>
  <c r="AB18"/>
  <c r="AB17"/>
  <c r="AB16"/>
  <c r="AB15"/>
  <c r="AB14"/>
  <c r="AB13"/>
  <c r="AB12"/>
  <c r="AB11"/>
  <c r="AB10"/>
  <c r="AB9"/>
  <c r="AB8"/>
  <c r="AB7"/>
  <c r="AB6"/>
  <c r="AB5"/>
  <c r="AB4"/>
  <c r="AB3"/>
  <c r="X21"/>
  <c r="X20"/>
  <c r="X19"/>
  <c r="X18"/>
  <c r="X17"/>
  <c r="X16"/>
  <c r="X15"/>
  <c r="X14"/>
  <c r="X13"/>
  <c r="X12"/>
  <c r="X11"/>
  <c r="X10"/>
  <c r="X9"/>
  <c r="X8"/>
  <c r="X7"/>
  <c r="X6"/>
  <c r="X5"/>
  <c r="X4"/>
  <c r="X3"/>
  <c r="W21"/>
  <c r="W20"/>
  <c r="W19"/>
  <c r="W18"/>
  <c r="W17"/>
  <c r="W16"/>
  <c r="W15"/>
  <c r="W14"/>
  <c r="W13"/>
  <c r="W12"/>
  <c r="W11"/>
  <c r="W10"/>
  <c r="W9"/>
  <c r="W8"/>
  <c r="W7"/>
  <c r="W6"/>
  <c r="W5"/>
  <c r="W4"/>
  <c r="W3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T21"/>
  <c r="T20"/>
  <c r="T19"/>
  <c r="T18"/>
  <c r="T17"/>
  <c r="T16"/>
  <c r="T15"/>
  <c r="T14"/>
  <c r="T13"/>
  <c r="T12"/>
  <c r="T11"/>
  <c r="T10"/>
  <c r="T9"/>
  <c r="T8"/>
  <c r="T7"/>
  <c r="T6"/>
  <c r="T5"/>
  <c r="T4"/>
  <c r="T3"/>
  <c r="AD4" i="16"/>
  <c r="AD5"/>
  <c r="AD6"/>
  <c r="AD7"/>
  <c r="I6" s="1"/>
  <c r="AD8"/>
  <c r="AD9"/>
  <c r="AD10"/>
  <c r="AD11"/>
  <c r="AD12"/>
  <c r="AD13"/>
  <c r="AD14"/>
  <c r="AD15"/>
  <c r="AD16"/>
  <c r="AD17"/>
  <c r="AD18"/>
  <c r="AD19"/>
  <c r="AD20"/>
  <c r="AD21"/>
  <c r="AC4"/>
  <c r="AC5"/>
  <c r="AC6"/>
  <c r="AC7"/>
  <c r="H6" s="1"/>
  <c r="AC8"/>
  <c r="AC9"/>
  <c r="AC10"/>
  <c r="AC11"/>
  <c r="AC12"/>
  <c r="AC13"/>
  <c r="AC14"/>
  <c r="AC15"/>
  <c r="AC16"/>
  <c r="AC17"/>
  <c r="AC18"/>
  <c r="AC19"/>
  <c r="AC20"/>
  <c r="AC21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X4"/>
  <c r="X5"/>
  <c r="X6"/>
  <c r="X7"/>
  <c r="X8"/>
  <c r="X9"/>
  <c r="X10"/>
  <c r="X11"/>
  <c r="X12"/>
  <c r="X13"/>
  <c r="X14"/>
  <c r="X15"/>
  <c r="X16"/>
  <c r="X17"/>
  <c r="X18"/>
  <c r="X19"/>
  <c r="X20"/>
  <c r="X21"/>
  <c r="W4"/>
  <c r="W5"/>
  <c r="W6"/>
  <c r="W7"/>
  <c r="F6" s="1"/>
  <c r="W8"/>
  <c r="W9"/>
  <c r="W10"/>
  <c r="W11"/>
  <c r="W12"/>
  <c r="W13"/>
  <c r="W14"/>
  <c r="W15"/>
  <c r="W16"/>
  <c r="W17"/>
  <c r="W18"/>
  <c r="W19"/>
  <c r="W20"/>
  <c r="W21"/>
  <c r="U4"/>
  <c r="U5"/>
  <c r="U6"/>
  <c r="U7"/>
  <c r="E6" s="1"/>
  <c r="U8"/>
  <c r="U9"/>
  <c r="U10"/>
  <c r="U11"/>
  <c r="U12"/>
  <c r="U13"/>
  <c r="U14"/>
  <c r="U15"/>
  <c r="U16"/>
  <c r="U17"/>
  <c r="U18"/>
  <c r="U19"/>
  <c r="U20"/>
  <c r="U21"/>
  <c r="T4"/>
  <c r="T5"/>
  <c r="T6"/>
  <c r="T7"/>
  <c r="T8"/>
  <c r="T9"/>
  <c r="T10"/>
  <c r="T11"/>
  <c r="T12"/>
  <c r="T13"/>
  <c r="T14"/>
  <c r="T15"/>
  <c r="T16"/>
  <c r="T17"/>
  <c r="T18"/>
  <c r="T19"/>
  <c r="T20"/>
  <c r="T21"/>
  <c r="AE21" i="15"/>
  <c r="AF21" s="1"/>
  <c r="AE20"/>
  <c r="AG20" s="1"/>
  <c r="AE19"/>
  <c r="AF19" s="1"/>
  <c r="AE18"/>
  <c r="AF18" s="1"/>
  <c r="AE17"/>
  <c r="AF17" s="1"/>
  <c r="AE16"/>
  <c r="AG16" s="1"/>
  <c r="AE15"/>
  <c r="AF15" s="1"/>
  <c r="AE14"/>
  <c r="AG14" s="1"/>
  <c r="AE13"/>
  <c r="AF13" s="1"/>
  <c r="AE12"/>
  <c r="AG12" s="1"/>
  <c r="AE11"/>
  <c r="AF11" s="1"/>
  <c r="AE10"/>
  <c r="AF10" s="1"/>
  <c r="AE9"/>
  <c r="AG9" s="1"/>
  <c r="AE8"/>
  <c r="AF8" s="1"/>
  <c r="AE7"/>
  <c r="AF7" s="1"/>
  <c r="AE6"/>
  <c r="AF6" s="1"/>
  <c r="AE5"/>
  <c r="AF5" s="1"/>
  <c r="AE4"/>
  <c r="AF4" s="1"/>
  <c r="AE3"/>
  <c r="AG3" s="1"/>
  <c r="AD3" i="16"/>
  <c r="AC3"/>
  <c r="AB3"/>
  <c r="X3"/>
  <c r="W3"/>
  <c r="U3"/>
  <c r="K6" i="12"/>
  <c r="L6"/>
  <c r="O6"/>
  <c r="N6"/>
  <c r="H47" i="16" l="1"/>
  <c r="H59"/>
  <c r="H150"/>
  <c r="H121"/>
  <c r="H161"/>
  <c r="H53"/>
  <c r="H15"/>
  <c r="H106"/>
  <c r="H76"/>
  <c r="H170"/>
  <c r="H36"/>
  <c r="H145"/>
  <c r="H111"/>
  <c r="H92"/>
  <c r="H65"/>
  <c r="H8"/>
  <c r="H116"/>
  <c r="H97"/>
  <c r="H130"/>
  <c r="H179"/>
  <c r="H135"/>
  <c r="H184"/>
  <c r="H87"/>
  <c r="H42"/>
  <c r="H23"/>
  <c r="H140"/>
  <c r="H71"/>
  <c r="H155"/>
  <c r="H30"/>
  <c r="H81"/>
  <c r="F140"/>
  <c r="F106"/>
  <c r="F59"/>
  <c r="F71"/>
  <c r="F135"/>
  <c r="F36"/>
  <c r="F184"/>
  <c r="F87"/>
  <c r="F145"/>
  <c r="F111"/>
  <c r="F92"/>
  <c r="F65"/>
  <c r="F8"/>
  <c r="F150"/>
  <c r="F116"/>
  <c r="F81"/>
  <c r="F155"/>
  <c r="F130"/>
  <c r="F121"/>
  <c r="F76"/>
  <c r="F30"/>
  <c r="F179"/>
  <c r="F170"/>
  <c r="F161"/>
  <c r="F42"/>
  <c r="F23"/>
  <c r="F53"/>
  <c r="F15"/>
  <c r="F97"/>
  <c r="F47"/>
  <c r="G134"/>
  <c r="G98"/>
  <c r="G35"/>
  <c r="G58"/>
  <c r="G158"/>
  <c r="G122"/>
  <c r="G40"/>
  <c r="G182"/>
  <c r="G20"/>
  <c r="G167"/>
  <c r="G69"/>
  <c r="G88"/>
  <c r="G79"/>
  <c r="G52"/>
  <c r="G152"/>
  <c r="G64"/>
  <c r="G172"/>
  <c r="G129"/>
  <c r="G112"/>
  <c r="G93"/>
  <c r="G29"/>
  <c r="G9"/>
  <c r="G46"/>
  <c r="E145"/>
  <c r="E111"/>
  <c r="E92"/>
  <c r="E65"/>
  <c r="E8"/>
  <c r="E155"/>
  <c r="E130"/>
  <c r="E42"/>
  <c r="E150"/>
  <c r="E116"/>
  <c r="E97"/>
  <c r="E71"/>
  <c r="E121"/>
  <c r="E23"/>
  <c r="E15"/>
  <c r="E179"/>
  <c r="E170"/>
  <c r="E161"/>
  <c r="E135"/>
  <c r="E81"/>
  <c r="E36"/>
  <c r="E184"/>
  <c r="E87"/>
  <c r="E47"/>
  <c r="E140"/>
  <c r="E106"/>
  <c r="E59"/>
  <c r="E76"/>
  <c r="E30"/>
  <c r="E53"/>
  <c r="E3"/>
  <c r="E180"/>
  <c r="E162"/>
  <c r="E136"/>
  <c r="E100"/>
  <c r="E56"/>
  <c r="E37"/>
  <c r="E18"/>
  <c r="E67"/>
  <c r="E10"/>
  <c r="E141"/>
  <c r="E115"/>
  <c r="E25"/>
  <c r="E185"/>
  <c r="E168"/>
  <c r="E61"/>
  <c r="E107"/>
  <c r="E78"/>
  <c r="E84"/>
  <c r="E73"/>
  <c r="E120"/>
  <c r="E126"/>
  <c r="E89"/>
  <c r="E44"/>
  <c r="E174"/>
  <c r="E157"/>
  <c r="E131"/>
  <c r="E95"/>
  <c r="E50"/>
  <c r="E31"/>
  <c r="E146"/>
  <c r="E151"/>
  <c r="H146"/>
  <c r="H120"/>
  <c r="H84"/>
  <c r="H174"/>
  <c r="H67"/>
  <c r="H10"/>
  <c r="H151"/>
  <c r="H126"/>
  <c r="H89"/>
  <c r="H44"/>
  <c r="H25"/>
  <c r="H131"/>
  <c r="H95"/>
  <c r="H50"/>
  <c r="H31"/>
  <c r="H3"/>
  <c r="H180"/>
  <c r="H162"/>
  <c r="H136"/>
  <c r="H100"/>
  <c r="H56"/>
  <c r="H37"/>
  <c r="H18"/>
  <c r="H168"/>
  <c r="H73"/>
  <c r="H141"/>
  <c r="H115"/>
  <c r="H107"/>
  <c r="H78"/>
  <c r="H157"/>
  <c r="H185"/>
  <c r="H61"/>
  <c r="G6"/>
  <c r="F183"/>
  <c r="F114"/>
  <c r="F86"/>
  <c r="F68"/>
  <c r="F11"/>
  <c r="F149"/>
  <c r="F19"/>
  <c r="F119"/>
  <c r="F28"/>
  <c r="F99"/>
  <c r="F45"/>
  <c r="F132"/>
  <c r="F154"/>
  <c r="F137"/>
  <c r="F94"/>
  <c r="F39"/>
  <c r="F178"/>
  <c r="F169"/>
  <c r="F160"/>
  <c r="F109"/>
  <c r="F80"/>
  <c r="F63"/>
  <c r="F4"/>
  <c r="F125"/>
  <c r="F34"/>
  <c r="F144"/>
  <c r="F51"/>
  <c r="F75"/>
  <c r="F57"/>
  <c r="I149"/>
  <c r="I132"/>
  <c r="I51"/>
  <c r="I178"/>
  <c r="I169"/>
  <c r="I160"/>
  <c r="I154"/>
  <c r="I137"/>
  <c r="I75"/>
  <c r="I57"/>
  <c r="I19"/>
  <c r="I80"/>
  <c r="I4"/>
  <c r="I28"/>
  <c r="I39"/>
  <c r="I183"/>
  <c r="I114"/>
  <c r="I86"/>
  <c r="I68"/>
  <c r="I11"/>
  <c r="I125"/>
  <c r="I94"/>
  <c r="I144"/>
  <c r="I99"/>
  <c r="I45"/>
  <c r="I109"/>
  <c r="I63"/>
  <c r="I119"/>
  <c r="I34"/>
  <c r="I184"/>
  <c r="I87"/>
  <c r="I42"/>
  <c r="I23"/>
  <c r="I15"/>
  <c r="I145"/>
  <c r="I116"/>
  <c r="I76"/>
  <c r="I47"/>
  <c r="I53"/>
  <c r="I8"/>
  <c r="I97"/>
  <c r="I71"/>
  <c r="I130"/>
  <c r="I30"/>
  <c r="I140"/>
  <c r="I106"/>
  <c r="I59"/>
  <c r="I111"/>
  <c r="I92"/>
  <c r="I179"/>
  <c r="I170"/>
  <c r="I161"/>
  <c r="I135"/>
  <c r="I81"/>
  <c r="I36"/>
  <c r="I65"/>
  <c r="I150"/>
  <c r="I155"/>
  <c r="I121"/>
  <c r="F148"/>
  <c r="F24"/>
  <c r="F110"/>
  <c r="F74"/>
  <c r="F14"/>
  <c r="F181"/>
  <c r="F173"/>
  <c r="F85"/>
  <c r="F143"/>
  <c r="F123"/>
  <c r="F163"/>
  <c r="G151"/>
  <c r="G126"/>
  <c r="G89"/>
  <c r="G44"/>
  <c r="G25"/>
  <c r="G56"/>
  <c r="G37"/>
  <c r="G67"/>
  <c r="G10"/>
  <c r="G141"/>
  <c r="G115"/>
  <c r="G174"/>
  <c r="G157"/>
  <c r="G131"/>
  <c r="G95"/>
  <c r="G50"/>
  <c r="G31"/>
  <c r="G180"/>
  <c r="G162"/>
  <c r="G100"/>
  <c r="G107"/>
  <c r="G78"/>
  <c r="G185"/>
  <c r="G168"/>
  <c r="G61"/>
  <c r="G3"/>
  <c r="G73"/>
  <c r="G146"/>
  <c r="G120"/>
  <c r="G84"/>
  <c r="G136"/>
  <c r="G18"/>
  <c r="I123"/>
  <c r="I74"/>
  <c r="I24"/>
  <c r="I173"/>
  <c r="I181"/>
  <c r="I163"/>
  <c r="I85"/>
  <c r="I148"/>
  <c r="I110"/>
  <c r="I143"/>
  <c r="I14"/>
  <c r="E119"/>
  <c r="E28"/>
  <c r="E132"/>
  <c r="E75"/>
  <c r="E19"/>
  <c r="E178"/>
  <c r="E169"/>
  <c r="E4"/>
  <c r="E125"/>
  <c r="E34"/>
  <c r="E39"/>
  <c r="E149"/>
  <c r="E51"/>
  <c r="E154"/>
  <c r="E137"/>
  <c r="E160"/>
  <c r="E144"/>
  <c r="E99"/>
  <c r="E45"/>
  <c r="E80"/>
  <c r="E183"/>
  <c r="E114"/>
  <c r="E86"/>
  <c r="E68"/>
  <c r="E11"/>
  <c r="E94"/>
  <c r="E57"/>
  <c r="E109"/>
  <c r="E63"/>
  <c r="F122"/>
  <c r="F40"/>
  <c r="F79"/>
  <c r="F167"/>
  <c r="F93"/>
  <c r="F46"/>
  <c r="F9"/>
  <c r="F182"/>
  <c r="F58"/>
  <c r="F20"/>
  <c r="F152"/>
  <c r="F64"/>
  <c r="F158"/>
  <c r="F172"/>
  <c r="F112"/>
  <c r="F134"/>
  <c r="F98"/>
  <c r="F35"/>
  <c r="F88"/>
  <c r="F52"/>
  <c r="F69"/>
  <c r="F129"/>
  <c r="F29"/>
  <c r="H154"/>
  <c r="H137"/>
  <c r="H75"/>
  <c r="H57"/>
  <c r="H19"/>
  <c r="H183"/>
  <c r="H114"/>
  <c r="H86"/>
  <c r="H144"/>
  <c r="H99"/>
  <c r="H178"/>
  <c r="H169"/>
  <c r="H160"/>
  <c r="H109"/>
  <c r="H80"/>
  <c r="H63"/>
  <c r="H4"/>
  <c r="H68"/>
  <c r="H34"/>
  <c r="H94"/>
  <c r="H45"/>
  <c r="H119"/>
  <c r="H28"/>
  <c r="H149"/>
  <c r="H132"/>
  <c r="H51"/>
  <c r="H11"/>
  <c r="H125"/>
  <c r="H39"/>
  <c r="I167"/>
  <c r="I158"/>
  <c r="I69"/>
  <c r="I98"/>
  <c r="I46"/>
  <c r="I172"/>
  <c r="I129"/>
  <c r="I112"/>
  <c r="I93"/>
  <c r="I29"/>
  <c r="I9"/>
  <c r="I134"/>
  <c r="I35"/>
  <c r="I88"/>
  <c r="I58"/>
  <c r="I122"/>
  <c r="I40"/>
  <c r="I79"/>
  <c r="I52"/>
  <c r="I20"/>
  <c r="I152"/>
  <c r="I64"/>
  <c r="I182"/>
  <c r="G53"/>
  <c r="G15"/>
  <c r="G111"/>
  <c r="G92"/>
  <c r="G76"/>
  <c r="G30"/>
  <c r="G179"/>
  <c r="G170"/>
  <c r="G81"/>
  <c r="G184"/>
  <c r="G87"/>
  <c r="G140"/>
  <c r="G106"/>
  <c r="G59"/>
  <c r="G145"/>
  <c r="G65"/>
  <c r="G150"/>
  <c r="G116"/>
  <c r="G97"/>
  <c r="G71"/>
  <c r="G155"/>
  <c r="G135"/>
  <c r="G36"/>
  <c r="G47"/>
  <c r="G8"/>
  <c r="G130"/>
  <c r="G121"/>
  <c r="G161"/>
  <c r="G42"/>
  <c r="G23"/>
  <c r="E74"/>
  <c r="E85"/>
  <c r="E24"/>
  <c r="E14"/>
  <c r="E173"/>
  <c r="E123"/>
  <c r="E110"/>
  <c r="E163"/>
  <c r="E148"/>
  <c r="E181"/>
  <c r="E143"/>
  <c r="H181"/>
  <c r="H163"/>
  <c r="H24"/>
  <c r="H173"/>
  <c r="H110"/>
  <c r="H143"/>
  <c r="H14"/>
  <c r="H74"/>
  <c r="H123"/>
  <c r="H148"/>
  <c r="H85"/>
  <c r="E46"/>
  <c r="E20"/>
  <c r="E158"/>
  <c r="E112"/>
  <c r="E134"/>
  <c r="E98"/>
  <c r="E35"/>
  <c r="E88"/>
  <c r="E79"/>
  <c r="E52"/>
  <c r="E182"/>
  <c r="E167"/>
  <c r="E69"/>
  <c r="E29"/>
  <c r="E152"/>
  <c r="E64"/>
  <c r="E122"/>
  <c r="E40"/>
  <c r="E58"/>
  <c r="E172"/>
  <c r="E129"/>
  <c r="E93"/>
  <c r="E9"/>
  <c r="G178"/>
  <c r="G169"/>
  <c r="G160"/>
  <c r="G109"/>
  <c r="G80"/>
  <c r="G63"/>
  <c r="G4"/>
  <c r="G119"/>
  <c r="G28"/>
  <c r="G99"/>
  <c r="G149"/>
  <c r="G183"/>
  <c r="G114"/>
  <c r="G86"/>
  <c r="G68"/>
  <c r="G11"/>
  <c r="G94"/>
  <c r="G39"/>
  <c r="G51"/>
  <c r="G125"/>
  <c r="G34"/>
  <c r="G144"/>
  <c r="G132"/>
  <c r="G154"/>
  <c r="G137"/>
  <c r="G75"/>
  <c r="G57"/>
  <c r="G19"/>
  <c r="G45"/>
  <c r="H172"/>
  <c r="H129"/>
  <c r="H112"/>
  <c r="H93"/>
  <c r="H29"/>
  <c r="H9"/>
  <c r="H40"/>
  <c r="H52"/>
  <c r="H134"/>
  <c r="H98"/>
  <c r="H35"/>
  <c r="H88"/>
  <c r="H20"/>
  <c r="H64"/>
  <c r="H46"/>
  <c r="H182"/>
  <c r="H58"/>
  <c r="H152"/>
  <c r="H167"/>
  <c r="H158"/>
  <c r="H69"/>
  <c r="H122"/>
  <c r="H79"/>
  <c r="F174"/>
  <c r="F157"/>
  <c r="F131"/>
  <c r="F95"/>
  <c r="F50"/>
  <c r="F31"/>
  <c r="F3"/>
  <c r="F107"/>
  <c r="F84"/>
  <c r="F180"/>
  <c r="F162"/>
  <c r="F136"/>
  <c r="F100"/>
  <c r="F56"/>
  <c r="F37"/>
  <c r="F18"/>
  <c r="F61"/>
  <c r="F115"/>
  <c r="F120"/>
  <c r="F67"/>
  <c r="F10"/>
  <c r="F73"/>
  <c r="F141"/>
  <c r="F146"/>
  <c r="F151"/>
  <c r="F126"/>
  <c r="F89"/>
  <c r="F44"/>
  <c r="F25"/>
  <c r="F185"/>
  <c r="F168"/>
  <c r="F78"/>
  <c r="G143"/>
  <c r="G74"/>
  <c r="G85"/>
  <c r="G148"/>
  <c r="G123"/>
  <c r="G24"/>
  <c r="G14"/>
  <c r="G173"/>
  <c r="G181"/>
  <c r="G163"/>
  <c r="G110"/>
  <c r="I141"/>
  <c r="I115"/>
  <c r="I107"/>
  <c r="I78"/>
  <c r="I180"/>
  <c r="I162"/>
  <c r="I100"/>
  <c r="I18"/>
  <c r="I10"/>
  <c r="I146"/>
  <c r="I120"/>
  <c r="I84"/>
  <c r="I126"/>
  <c r="I89"/>
  <c r="I44"/>
  <c r="I185"/>
  <c r="I174"/>
  <c r="I157"/>
  <c r="I131"/>
  <c r="I95"/>
  <c r="I50"/>
  <c r="I31"/>
  <c r="I136"/>
  <c r="I56"/>
  <c r="I37"/>
  <c r="I3"/>
  <c r="I73"/>
  <c r="I151"/>
  <c r="I25"/>
  <c r="I168"/>
  <c r="I61"/>
  <c r="I67"/>
  <c r="AF16" i="15"/>
  <c r="AG21"/>
  <c r="AG5"/>
  <c r="AF9"/>
  <c r="AG8"/>
  <c r="AF14"/>
  <c r="AG19"/>
  <c r="AF12"/>
  <c r="AG17"/>
  <c r="AF20"/>
  <c r="AF3"/>
  <c r="AG10"/>
  <c r="AG6"/>
  <c r="AG13"/>
  <c r="AG4"/>
  <c r="AG15"/>
  <c r="AG7"/>
  <c r="AG11"/>
  <c r="AG18"/>
  <c r="T3" i="16"/>
  <c r="N8" i="10"/>
  <c r="K8"/>
  <c r="N31" i="22"/>
  <c r="O45" i="4"/>
  <c r="M73" i="1"/>
  <c r="N57" i="32"/>
  <c r="M47" i="26"/>
  <c r="M114" i="27"/>
  <c r="N36" i="21"/>
  <c r="N112" i="27"/>
  <c r="M35" i="21"/>
  <c r="K126" i="24"/>
  <c r="L80" i="33"/>
  <c r="L14" i="28"/>
  <c r="K137" i="15"/>
  <c r="O172" i="24"/>
  <c r="K158" i="5"/>
  <c r="L107" i="20"/>
  <c r="O25" i="6"/>
  <c r="K132" i="31"/>
  <c r="L81" i="30"/>
  <c r="K59" i="32"/>
  <c r="N78" i="33"/>
  <c r="O53" i="5"/>
  <c r="O123" i="19"/>
  <c r="N137" i="15"/>
  <c r="M59" i="32"/>
  <c r="M160" i="2"/>
  <c r="L37" i="3"/>
  <c r="N130" i="31"/>
  <c r="N163" i="26"/>
  <c r="L170" i="25"/>
  <c r="K136" i="23"/>
  <c r="L45" i="4"/>
  <c r="O81" i="30"/>
  <c r="K19" i="11"/>
  <c r="O98" i="18"/>
  <c r="N173" i="24"/>
  <c r="N29" i="22"/>
  <c r="O120" i="19"/>
  <c r="M97" i="18"/>
  <c r="L36" i="21"/>
  <c r="K140" i="15"/>
  <c r="N115" i="27"/>
  <c r="O34" i="21"/>
  <c r="M136" i="23"/>
  <c r="L29" i="22"/>
  <c r="M71" i="2"/>
  <c r="M94" i="31"/>
  <c r="O146" i="20"/>
  <c r="N80" i="33"/>
  <c r="L71" i="2"/>
  <c r="K15" i="28"/>
  <c r="M6" i="12"/>
  <c r="O145" i="20"/>
  <c r="M120" i="19"/>
  <c r="L69" i="2"/>
  <c r="M130" i="31"/>
  <c r="M68" i="2"/>
  <c r="M85" i="30"/>
  <c r="O3" i="12"/>
  <c r="M111" i="23"/>
  <c r="N23" i="6"/>
  <c r="K155" i="3"/>
  <c r="N3" i="12"/>
  <c r="O109" i="23"/>
  <c r="M100" i="17"/>
  <c r="L64" i="29"/>
  <c r="M53" i="5"/>
  <c r="K69" i="2"/>
  <c r="L180" i="12"/>
  <c r="O61" i="25"/>
  <c r="L28" i="22"/>
  <c r="O10" i="10"/>
  <c r="K37" i="3"/>
  <c r="K160" i="2"/>
  <c r="L61" i="25"/>
  <c r="K71" i="2"/>
  <c r="M3" i="12"/>
  <c r="M19" i="11"/>
  <c r="M129" i="31"/>
  <c r="O46" i="26"/>
  <c r="N111" i="23"/>
  <c r="N154" i="3"/>
  <c r="N121" i="19"/>
  <c r="K80" i="33"/>
  <c r="N59" i="32"/>
  <c r="O93" i="15"/>
  <c r="O37" i="3"/>
  <c r="K125" i="24"/>
  <c r="N28" i="22"/>
  <c r="K30"/>
  <c r="O11" i="10"/>
  <c r="O99" i="18"/>
  <c r="M125" i="24"/>
  <c r="L30" i="22"/>
  <c r="M167" i="25"/>
  <c r="K120" i="19"/>
  <c r="L109" i="23"/>
  <c r="L74" i="1"/>
  <c r="K154" i="3"/>
  <c r="K163" i="26"/>
  <c r="M57" i="32"/>
  <c r="L34" i="21"/>
  <c r="N161" i="2"/>
  <c r="M172" i="24"/>
  <c r="K95" i="31"/>
  <c r="O160" i="2"/>
  <c r="M67" i="29"/>
  <c r="M76" i="1"/>
  <c r="K180" i="12"/>
  <c r="O174" i="17"/>
  <c r="L169" i="25"/>
  <c r="K149" i="18"/>
  <c r="L15" i="28"/>
  <c r="K34" i="21"/>
  <c r="N162" i="2"/>
  <c r="O179" i="12"/>
  <c r="M144" i="21"/>
  <c r="L149" i="18"/>
  <c r="N15" i="28"/>
  <c r="M179" i="12"/>
  <c r="M98" i="18"/>
  <c r="M23" i="6"/>
  <c r="M20" i="11"/>
  <c r="K79" i="33"/>
  <c r="L99" i="18"/>
  <c r="L76" i="1"/>
  <c r="N129" i="31"/>
  <c r="K53" i="5"/>
  <c r="L126" i="24"/>
  <c r="O24" i="6"/>
  <c r="K31" i="22"/>
  <c r="O131" i="31"/>
  <c r="N99" i="18"/>
  <c r="K115" i="27"/>
  <c r="M119" i="9"/>
  <c r="M161" i="2"/>
  <c r="O181" i="12"/>
  <c r="K173" i="24"/>
  <c r="L52" i="5"/>
  <c r="N106" i="20"/>
  <c r="M93" i="15"/>
  <c r="N151" i="18"/>
  <c r="O114" i="27"/>
  <c r="M162" i="2"/>
  <c r="L152" i="18"/>
  <c r="M65" i="29"/>
  <c r="M80" i="33"/>
  <c r="O115" i="27"/>
  <c r="N148" i="20"/>
  <c r="L42" i="4"/>
  <c r="K56" i="32"/>
  <c r="L154" i="3"/>
  <c r="O65" i="29"/>
  <c r="K169" i="25"/>
  <c r="N11" i="10"/>
  <c r="N143" i="21"/>
  <c r="N79" i="33"/>
  <c r="O50" i="26"/>
  <c r="L148" i="20"/>
  <c r="N81" i="30"/>
  <c r="K135" i="23"/>
  <c r="N56" i="32"/>
  <c r="O144" i="21"/>
  <c r="M61" i="25"/>
  <c r="L98" i="18"/>
  <c r="M30" i="22"/>
  <c r="K40" i="3"/>
  <c r="L3" i="12"/>
  <c r="O151" i="18"/>
  <c r="O158" i="5"/>
  <c r="L116" i="9"/>
  <c r="K106" i="20"/>
  <c r="N107"/>
  <c r="O106"/>
  <c r="O148"/>
  <c r="N132" i="31"/>
  <c r="K110" i="23"/>
  <c r="M75" i="1"/>
  <c r="O107" i="20"/>
  <c r="N114" i="27"/>
  <c r="N155" i="3"/>
  <c r="K170" i="25"/>
  <c r="N136" i="23"/>
  <c r="O125" i="24"/>
  <c r="M95" i="31"/>
  <c r="L112" i="27"/>
  <c r="M140" i="15"/>
  <c r="M28" i="22"/>
  <c r="L25" i="6"/>
  <c r="M78" i="33"/>
  <c r="N140" i="15"/>
  <c r="K130" i="31"/>
  <c r="N73" i="1"/>
  <c r="O63" i="25"/>
  <c r="M107" i="20"/>
  <c r="L158" i="5"/>
  <c r="M116" i="9"/>
  <c r="M4" i="12"/>
  <c r="L120" i="19"/>
  <c r="O168" i="25"/>
  <c r="L129" i="31"/>
  <c r="N116" i="9"/>
  <c r="M29" i="22"/>
  <c r="N126" i="24"/>
  <c r="O57" i="32"/>
  <c r="M174" i="17"/>
  <c r="L167" i="25"/>
  <c r="O122" i="19"/>
  <c r="K134" i="23"/>
  <c r="L157" i="5"/>
  <c r="O136" i="23"/>
  <c r="K78" i="33"/>
  <c r="N167" i="25"/>
  <c r="O44" i="4"/>
  <c r="K9" i="10"/>
  <c r="O150" i="18"/>
  <c r="O42" i="4"/>
  <c r="M152" i="18"/>
  <c r="M151"/>
  <c r="N9" i="10"/>
  <c r="K111" i="23"/>
  <c r="M50" i="26"/>
  <c r="M169" i="25"/>
  <c r="M64" i="29"/>
  <c r="L24" i="6"/>
  <c r="N85" i="30"/>
  <c r="M122" i="19"/>
  <c r="L85" i="30"/>
  <c r="K98" i="18"/>
  <c r="O80" i="33"/>
  <c r="K61" i="25"/>
  <c r="N45" i="4"/>
  <c r="M163" i="26"/>
  <c r="L111" i="23"/>
  <c r="K4" i="12"/>
  <c r="N14" i="28"/>
  <c r="L134" i="23"/>
  <c r="K84" i="30"/>
  <c r="N24" i="6"/>
  <c r="O141" i="15"/>
  <c r="L125" i="24"/>
  <c r="O167" i="25"/>
  <c r="O56" i="32"/>
  <c r="L121" i="19"/>
  <c r="K119" i="9"/>
  <c r="O162" i="2"/>
  <c r="L106" i="20"/>
  <c r="O14" i="28"/>
  <c r="K181" i="12"/>
  <c r="N10" i="10"/>
  <c r="L20" i="11"/>
  <c r="O157" i="5"/>
  <c r="L132" i="31"/>
  <c r="N68" i="2"/>
  <c r="N44" i="4"/>
  <c r="K63" i="25"/>
  <c r="N69" i="2"/>
  <c r="K141" i="15"/>
  <c r="N149" i="18"/>
  <c r="L97"/>
  <c r="L39" i="3"/>
  <c r="N181" i="12"/>
  <c r="M46" i="26"/>
  <c r="N61" i="25"/>
  <c r="M150" i="18"/>
  <c r="M181" i="12"/>
  <c r="N42" i="4"/>
  <c r="N169" i="25"/>
  <c r="M148" i="20"/>
  <c r="L40" i="3"/>
  <c r="L18" i="11"/>
  <c r="L68" i="2"/>
  <c r="M149" i="18"/>
  <c r="M154" i="3"/>
  <c r="K51" i="5"/>
  <c r="K46" i="26"/>
  <c r="K162" i="2"/>
  <c r="N63" i="25"/>
  <c r="K152" i="18"/>
  <c r="O130" i="31"/>
  <c r="M132"/>
  <c r="L59" i="32"/>
  <c r="M146" i="20"/>
  <c r="K129" i="31"/>
  <c r="M58" i="32"/>
  <c r="K146" i="20"/>
  <c r="O75" i="1"/>
  <c r="M115" i="27"/>
  <c r="L79" i="33"/>
  <c r="M170" i="25"/>
  <c r="K172" i="24"/>
  <c r="O31" i="22"/>
  <c r="O29"/>
  <c r="L155" i="3"/>
  <c r="K76" i="1"/>
  <c r="L11" i="10"/>
  <c r="O111" i="23"/>
  <c r="O143" i="21"/>
  <c r="N34"/>
  <c r="K148" i="20"/>
  <c r="N46" i="26"/>
  <c r="O126" i="24"/>
  <c r="O178" i="17"/>
  <c r="N92" i="15"/>
  <c r="K97" i="18"/>
  <c r="N95" i="31"/>
  <c r="O39" i="3"/>
  <c r="M31" i="22"/>
  <c r="L58" i="32"/>
  <c r="O152" i="18"/>
  <c r="K52" i="5"/>
  <c r="N122" i="19"/>
  <c r="O95" i="31"/>
  <c r="K57" i="32"/>
  <c r="N30" i="22"/>
  <c r="K161" i="2"/>
  <c r="N100" i="17"/>
  <c r="O47" i="26"/>
  <c r="M18" i="11"/>
  <c r="N4" i="12"/>
  <c r="M42" i="4"/>
  <c r="M39" i="3"/>
  <c r="M24" i="6"/>
  <c r="M84" i="30"/>
  <c r="N179" i="12"/>
  <c r="K150" i="18"/>
  <c r="N25" i="6"/>
  <c r="O4" i="12"/>
  <c r="M37" i="3"/>
  <c r="L9" i="10"/>
  <c r="M92" i="15"/>
  <c r="M178" i="17"/>
  <c r="L10" i="10"/>
  <c r="O30" i="22"/>
  <c r="N97" i="18"/>
  <c r="M9" i="10"/>
  <c r="N180" i="12"/>
  <c r="O68" i="2"/>
  <c r="M157" i="5"/>
  <c r="L93" i="15"/>
  <c r="M15" i="28"/>
  <c r="K93" i="15"/>
  <c r="L162" i="2"/>
  <c r="M143" i="21"/>
  <c r="K39" i="3"/>
  <c r="N76" i="1"/>
  <c r="M79" i="33"/>
  <c r="K151" i="18"/>
  <c r="O132" i="31"/>
  <c r="M44" i="4"/>
  <c r="K11" i="10"/>
  <c r="O112" i="27"/>
  <c r="N74" i="1"/>
  <c r="N58" i="32"/>
  <c r="K42" i="4"/>
  <c r="L63" i="25"/>
  <c r="O129" i="31"/>
  <c r="M56" i="32"/>
  <c r="N37" i="3"/>
  <c r="N75" i="1"/>
  <c r="M173" i="24"/>
  <c r="L75" i="1"/>
  <c r="O78" i="33"/>
  <c r="O28" i="22"/>
  <c r="L56" i="32"/>
  <c r="K131" i="31"/>
  <c r="L50" i="26"/>
  <c r="O51" i="5"/>
  <c r="N152" i="18"/>
  <c r="L94" i="31"/>
  <c r="N172" i="24"/>
  <c r="O92" i="15"/>
  <c r="N65" i="29"/>
  <c r="M180" i="12"/>
  <c r="M14" i="28"/>
  <c r="N158" i="5"/>
  <c r="N123" i="19"/>
  <c r="K18" i="11"/>
  <c r="M8" i="10"/>
  <c r="K45" i="4"/>
  <c r="O97" i="18"/>
  <c r="M112" i="27"/>
  <c r="M109" i="23"/>
  <c r="K25" i="6"/>
  <c r="L168" i="25"/>
  <c r="L163" i="26"/>
  <c r="L95" i="31"/>
  <c r="K123" i="19"/>
  <c r="O170" i="25"/>
  <c r="O18" i="11"/>
  <c r="O173" i="24"/>
  <c r="O23" i="6"/>
  <c r="L57" i="32"/>
  <c r="L172" i="24"/>
  <c r="O110" i="23"/>
  <c r="M134"/>
  <c r="N20" i="11"/>
  <c r="O76" i="1"/>
  <c r="L65" i="29"/>
  <c r="M110" i="23"/>
  <c r="N168" i="25"/>
  <c r="L174" i="17"/>
  <c r="L23" i="6"/>
  <c r="K168" i="25"/>
  <c r="O149" i="18"/>
  <c r="L181" i="12"/>
  <c r="K68" i="2"/>
  <c r="O58" i="32"/>
  <c r="K167" i="25"/>
  <c r="L151" i="18"/>
  <c r="L46" i="26"/>
  <c r="L145" i="20"/>
  <c r="K81" i="30"/>
  <c r="N157" i="5"/>
  <c r="O8" i="10"/>
  <c r="O74" i="1"/>
  <c r="N178" i="17"/>
  <c r="K74" i="1"/>
  <c r="N40" i="3"/>
  <c r="O180" i="12"/>
  <c r="N120" i="19"/>
  <c r="N53" i="5"/>
  <c r="K92" i="15"/>
  <c r="N67" i="29"/>
  <c r="O154" i="3"/>
  <c r="M10" i="10"/>
  <c r="L122" i="19"/>
  <c r="O35" i="21"/>
  <c r="K20" i="11"/>
  <c r="N64" i="29"/>
  <c r="O84" i="30"/>
  <c r="O163" i="26"/>
  <c r="N135" i="23"/>
  <c r="K116" i="9"/>
  <c r="N131" i="31"/>
  <c r="O94"/>
  <c r="M168" i="25"/>
  <c r="N144" i="21"/>
  <c r="M155" i="3"/>
  <c r="M99" i="18"/>
  <c r="L73" i="1"/>
  <c r="O116" i="9"/>
  <c r="N145" i="20"/>
  <c r="K145"/>
  <c r="N84" i="30"/>
  <c r="O169" i="25"/>
  <c r="L123" i="19"/>
  <c r="K109" i="23"/>
  <c r="O52" i="5"/>
  <c r="K64" i="29"/>
  <c r="L100" i="17"/>
  <c r="L178"/>
  <c r="N170" i="25"/>
  <c r="M52" i="5"/>
  <c r="N146" i="20"/>
  <c r="O19" i="11"/>
  <c r="M25" i="6"/>
  <c r="K94" i="31"/>
  <c r="O40" i="3"/>
  <c r="K29" i="22"/>
  <c r="L131" i="31"/>
  <c r="L84" i="30"/>
  <c r="L143" i="21"/>
  <c r="N47" i="26"/>
  <c r="M158" i="5"/>
  <c r="K44" i="4"/>
  <c r="L4" i="12"/>
  <c r="L173" i="24"/>
  <c r="K144" i="21"/>
  <c r="N39" i="3"/>
  <c r="K143" i="21"/>
  <c r="N134" i="23"/>
  <c r="O100" i="17"/>
  <c r="N71" i="2"/>
  <c r="M121" i="19"/>
  <c r="L130" i="31"/>
  <c r="K112" i="27"/>
  <c r="L140" i="15"/>
  <c r="M36" i="21"/>
  <c r="L136" i="23"/>
  <c r="K50" i="26"/>
  <c r="K114" i="27"/>
  <c r="N110" i="23"/>
  <c r="O161" i="2"/>
  <c r="N174" i="17"/>
  <c r="M106" i="20"/>
  <c r="N141" i="15"/>
  <c r="L144" i="21"/>
  <c r="O9" i="10"/>
  <c r="K157" i="5"/>
  <c r="K174" i="17"/>
  <c r="K99" i="18"/>
  <c r="O67" i="29"/>
  <c r="L53" i="5"/>
  <c r="O155" i="3"/>
  <c r="K24" i="6"/>
  <c r="M123" i="19"/>
  <c r="L137" i="15"/>
  <c r="N125" i="24"/>
  <c r="N52" i="5"/>
  <c r="K65" i="29"/>
  <c r="N50" i="26"/>
  <c r="L35" i="21"/>
  <c r="M145" i="20"/>
  <c r="L78" i="33"/>
  <c r="K35" i="21"/>
  <c r="N51" i="5"/>
  <c r="L31" i="22"/>
  <c r="L47" i="26"/>
  <c r="O135" i="23"/>
  <c r="O69" i="2"/>
  <c r="K179" i="12"/>
  <c r="K107" i="20"/>
  <c r="O121" i="19"/>
  <c r="N98" i="18"/>
  <c r="L67" i="29"/>
  <c r="L19" i="11"/>
  <c r="N160" i="2"/>
  <c r="M74" i="1"/>
  <c r="K36" i="21"/>
  <c r="N94" i="31"/>
  <c r="M45" i="4"/>
  <c r="O137" i="15"/>
  <c r="M141"/>
  <c r="L146" i="20"/>
  <c r="O79" i="33"/>
  <c r="O36" i="21"/>
  <c r="M51" i="5"/>
  <c r="L44" i="4"/>
  <c r="K73" i="1"/>
  <c r="O20" i="11"/>
  <c r="L179" i="12"/>
  <c r="O140" i="15"/>
  <c r="N93"/>
  <c r="K67" i="29"/>
  <c r="N119" i="9"/>
  <c r="M11" i="10"/>
  <c r="O71" i="2"/>
  <c r="M63" i="25"/>
  <c r="N18" i="11"/>
  <c r="K85" i="30"/>
  <c r="M40" i="3"/>
  <c r="M126" i="24"/>
  <c r="K58" i="32"/>
  <c r="K100" i="17"/>
  <c r="M135" i="23"/>
  <c r="K47" i="26"/>
  <c r="L160" i="2"/>
  <c r="O134" i="23"/>
  <c r="L150" i="18"/>
  <c r="O85" i="30"/>
  <c r="L8" i="10"/>
  <c r="L119" i="9"/>
  <c r="K14" i="28"/>
  <c r="K23" i="6"/>
  <c r="M81" i="30"/>
  <c r="O119" i="9"/>
  <c r="K122" i="19"/>
  <c r="K10" i="10"/>
  <c r="K178" i="17"/>
  <c r="L51" i="5"/>
  <c r="N150" i="18"/>
  <c r="K75" i="1"/>
  <c r="N35" i="21"/>
  <c r="K28" i="22"/>
  <c r="L92" i="15"/>
  <c r="N19" i="11"/>
  <c r="M131" i="31"/>
  <c r="K121" i="19"/>
  <c r="M34" i="21"/>
  <c r="M69" i="2"/>
  <c r="O64" i="29"/>
  <c r="L161" i="2"/>
  <c r="O59" i="32"/>
  <c r="L141" i="15"/>
  <c r="L110" i="23"/>
  <c r="O73" i="1"/>
  <c r="L114" i="27"/>
  <c r="M137" i="15"/>
  <c r="K3" i="12"/>
  <c r="N109" i="23"/>
  <c r="L135"/>
  <c r="O15" i="28"/>
  <c r="L115" i="27"/>
  <c r="P3" i="16" l="1"/>
  <c r="Q3" s="1"/>
  <c r="AE3"/>
  <c r="AF3" s="1"/>
  <c r="P4"/>
  <c r="P5"/>
  <c r="Q5" s="1"/>
  <c r="AF5"/>
  <c r="P6"/>
  <c r="Q6" s="1"/>
  <c r="P8"/>
  <c r="Q8" s="1"/>
  <c r="P9"/>
  <c r="Q9" s="1"/>
  <c r="P10"/>
  <c r="Q10" s="1"/>
  <c r="AF10"/>
  <c r="P11"/>
  <c r="Q11" s="1"/>
  <c r="AG11"/>
  <c r="AH11" s="1"/>
  <c r="AF12"/>
  <c r="P13"/>
  <c r="Q13" s="1"/>
  <c r="AG13"/>
  <c r="AH13" s="1"/>
  <c r="P14"/>
  <c r="Q14" s="1"/>
  <c r="AG14"/>
  <c r="AH14" s="1"/>
  <c r="P15"/>
  <c r="Q15" s="1"/>
  <c r="AG15"/>
  <c r="AH15" s="1"/>
  <c r="P16"/>
  <c r="Q16" s="1"/>
  <c r="AF16"/>
  <c r="AG17"/>
  <c r="AH17" s="1"/>
  <c r="P18"/>
  <c r="Q18" s="1"/>
  <c r="AF18"/>
  <c r="P19"/>
  <c r="Q19" s="1"/>
  <c r="AG19"/>
  <c r="AH19" s="1"/>
  <c r="P20"/>
  <c r="Q20" s="1"/>
  <c r="AG20"/>
  <c r="AH20" s="1"/>
  <c r="P21"/>
  <c r="Q21" s="1"/>
  <c r="AG21"/>
  <c r="AH21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29"/>
  <c r="Q3" s="1"/>
  <c r="AE3"/>
  <c r="AG3" s="1"/>
  <c r="AH3" s="1"/>
  <c r="P4"/>
  <c r="AE4"/>
  <c r="AG4" s="1"/>
  <c r="AH4" s="1"/>
  <c r="P5"/>
  <c r="Q5" s="1"/>
  <c r="AE5"/>
  <c r="AG5" s="1"/>
  <c r="AH5" s="1"/>
  <c r="P6"/>
  <c r="Q6" s="1"/>
  <c r="AE6"/>
  <c r="AG6" s="1"/>
  <c r="AH6" s="1"/>
  <c r="AE7"/>
  <c r="AF7" s="1"/>
  <c r="P8"/>
  <c r="Q8" s="1"/>
  <c r="AE8"/>
  <c r="AG8" s="1"/>
  <c r="AH8" s="1"/>
  <c r="P9"/>
  <c r="Q9" s="1"/>
  <c r="AE9"/>
  <c r="AF9" s="1"/>
  <c r="P10"/>
  <c r="Q10" s="1"/>
  <c r="AE10"/>
  <c r="AG10" s="1"/>
  <c r="AH10" s="1"/>
  <c r="P11"/>
  <c r="Q11" s="1"/>
  <c r="AE11"/>
  <c r="AG11" s="1"/>
  <c r="AH11" s="1"/>
  <c r="AE12"/>
  <c r="AF12" s="1"/>
  <c r="P13"/>
  <c r="Q13" s="1"/>
  <c r="AE13"/>
  <c r="AF13" s="1"/>
  <c r="P14"/>
  <c r="Q14"/>
  <c r="AE14"/>
  <c r="AG14" s="1"/>
  <c r="AH14" s="1"/>
  <c r="P15"/>
  <c r="Q15" s="1"/>
  <c r="AE15"/>
  <c r="AF15" s="1"/>
  <c r="P16"/>
  <c r="Q16" s="1"/>
  <c r="AE16"/>
  <c r="AG16" s="1"/>
  <c r="AH16" s="1"/>
  <c r="AE17"/>
  <c r="P18"/>
  <c r="Q18" s="1"/>
  <c r="AE18"/>
  <c r="AG18" s="1"/>
  <c r="AH18" s="1"/>
  <c r="P19"/>
  <c r="Q19" s="1"/>
  <c r="AE19"/>
  <c r="AF19" s="1"/>
  <c r="P20"/>
  <c r="Q20" s="1"/>
  <c r="AE20"/>
  <c r="AG20" s="1"/>
  <c r="AH20" s="1"/>
  <c r="P21"/>
  <c r="Q21" s="1"/>
  <c r="AE21"/>
  <c r="AG21" s="1"/>
  <c r="AH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/>
  <c r="P33"/>
  <c r="Q33" s="1"/>
  <c r="P34"/>
  <c r="Q34" s="1"/>
  <c r="P35"/>
  <c r="Q35" s="1"/>
  <c r="P36"/>
  <c r="Q36" s="1"/>
  <c r="P37"/>
  <c r="Q37"/>
  <c r="P38"/>
  <c r="Q38" s="1"/>
  <c r="P39"/>
  <c r="Q39" s="1"/>
  <c r="P40"/>
  <c r="Q40"/>
  <c r="P42"/>
  <c r="Q42" s="1"/>
  <c r="P43"/>
  <c r="Q43" s="1"/>
  <c r="P44"/>
  <c r="Q44" s="1"/>
  <c r="P45"/>
  <c r="Q45" s="1"/>
  <c r="P46"/>
  <c r="Q46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/>
  <c r="P184"/>
  <c r="Q184" s="1"/>
  <c r="P185"/>
  <c r="Q185" s="1"/>
  <c r="B187"/>
  <c r="P3" i="17"/>
  <c r="Q3" s="1"/>
  <c r="AE3"/>
  <c r="AG3" s="1"/>
  <c r="AH3" s="1"/>
  <c r="P4"/>
  <c r="Q4" s="1"/>
  <c r="AE4"/>
  <c r="AF4" s="1"/>
  <c r="P5"/>
  <c r="Q5" s="1"/>
  <c r="AE5"/>
  <c r="P6"/>
  <c r="Q6" s="1"/>
  <c r="AE6"/>
  <c r="AG6" s="1"/>
  <c r="AH6" s="1"/>
  <c r="AE7"/>
  <c r="AG7" s="1"/>
  <c r="AH7" s="1"/>
  <c r="P8"/>
  <c r="Q8" s="1"/>
  <c r="AE8"/>
  <c r="AG8" s="1"/>
  <c r="AH8" s="1"/>
  <c r="P9"/>
  <c r="Q9" s="1"/>
  <c r="AE9"/>
  <c r="P10"/>
  <c r="Q10" s="1"/>
  <c r="AE10"/>
  <c r="AG10" s="1"/>
  <c r="AH10" s="1"/>
  <c r="P11"/>
  <c r="Q11"/>
  <c r="AE11"/>
  <c r="AF11" s="1"/>
  <c r="AE12"/>
  <c r="AG12" s="1"/>
  <c r="AH12" s="1"/>
  <c r="P13"/>
  <c r="Q13" s="1"/>
  <c r="AE13"/>
  <c r="AG13" s="1"/>
  <c r="AH13" s="1"/>
  <c r="P14"/>
  <c r="Q14" s="1"/>
  <c r="AE14"/>
  <c r="AG14" s="1"/>
  <c r="AH14" s="1"/>
  <c r="P15"/>
  <c r="Q15" s="1"/>
  <c r="AE15"/>
  <c r="P16"/>
  <c r="Q16"/>
  <c r="AE16"/>
  <c r="AF16" s="1"/>
  <c r="AE17"/>
  <c r="AF17" s="1"/>
  <c r="P18"/>
  <c r="Q18" s="1"/>
  <c r="AE18"/>
  <c r="AG18" s="1"/>
  <c r="AH18" s="1"/>
  <c r="P19"/>
  <c r="Q19" s="1"/>
  <c r="AE19"/>
  <c r="AG19" s="1"/>
  <c r="AH19" s="1"/>
  <c r="P20"/>
  <c r="Q20"/>
  <c r="AE20"/>
  <c r="AG20" s="1"/>
  <c r="AH20" s="1"/>
  <c r="P21"/>
  <c r="Q21" s="1"/>
  <c r="AE2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9"/>
  <c r="Q3" s="1"/>
  <c r="AF3"/>
  <c r="P4"/>
  <c r="Q4" s="1"/>
  <c r="AG4"/>
  <c r="AH4" s="1"/>
  <c r="P5"/>
  <c r="Q5" s="1"/>
  <c r="AG5"/>
  <c r="AH5" s="1"/>
  <c r="P6"/>
  <c r="AG6"/>
  <c r="AH6" s="1"/>
  <c r="AG7"/>
  <c r="AH7" s="1"/>
  <c r="P8"/>
  <c r="Q8" s="1"/>
  <c r="AG8"/>
  <c r="AH8" s="1"/>
  <c r="P9"/>
  <c r="Q9" s="1"/>
  <c r="P10"/>
  <c r="Q10" s="1"/>
  <c r="AG10"/>
  <c r="AH10" s="1"/>
  <c r="P11"/>
  <c r="Q11" s="1"/>
  <c r="AF11"/>
  <c r="AG12"/>
  <c r="AH12" s="1"/>
  <c r="P13"/>
  <c r="Q13" s="1"/>
  <c r="AG13"/>
  <c r="AH13" s="1"/>
  <c r="P14"/>
  <c r="Q14" s="1"/>
  <c r="AG14"/>
  <c r="AH14" s="1"/>
  <c r="P15"/>
  <c r="Q15" s="1"/>
  <c r="P16"/>
  <c r="Q16" s="1"/>
  <c r="AG16"/>
  <c r="AH16" s="1"/>
  <c r="AG17"/>
  <c r="AH17" s="1"/>
  <c r="P18"/>
  <c r="Q18" s="1"/>
  <c r="AG18"/>
  <c r="AH18" s="1"/>
  <c r="AF18"/>
  <c r="P19"/>
  <c r="Q19" s="1"/>
  <c r="AG19"/>
  <c r="AH19" s="1"/>
  <c r="P20"/>
  <c r="Q20"/>
  <c r="AG20"/>
  <c r="AH20" s="1"/>
  <c r="P21"/>
  <c r="Q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/>
  <c r="P121"/>
  <c r="Q121" s="1"/>
  <c r="P122"/>
  <c r="Q122" s="1"/>
  <c r="P123"/>
  <c r="Q123" s="1"/>
  <c r="P125"/>
  <c r="Q125"/>
  <c r="P126"/>
  <c r="Q126" s="1"/>
  <c r="P127"/>
  <c r="Q127" s="1"/>
  <c r="P128"/>
  <c r="Q128" s="1"/>
  <c r="P129"/>
  <c r="Q129" s="1"/>
  <c r="P130"/>
  <c r="Q130" s="1"/>
  <c r="P131"/>
  <c r="Q13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15"/>
  <c r="Q3" s="1"/>
  <c r="P4"/>
  <c r="Q4" s="1"/>
  <c r="AH4"/>
  <c r="P5"/>
  <c r="Q5" s="1"/>
  <c r="AH5"/>
  <c r="P6"/>
  <c r="Q6" s="1"/>
  <c r="AH6"/>
  <c r="AH7"/>
  <c r="P8"/>
  <c r="Q8" s="1"/>
  <c r="AH8"/>
  <c r="P9"/>
  <c r="Q9" s="1"/>
  <c r="AH9"/>
  <c r="P10"/>
  <c r="Q10" s="1"/>
  <c r="AH10"/>
  <c r="P11"/>
  <c r="Q11" s="1"/>
  <c r="AH11"/>
  <c r="P13"/>
  <c r="Q13" s="1"/>
  <c r="AH13"/>
  <c r="P14"/>
  <c r="Q14" s="1"/>
  <c r="AH14"/>
  <c r="P15"/>
  <c r="Q15" s="1"/>
  <c r="AH15"/>
  <c r="P16"/>
  <c r="Q16" s="1"/>
  <c r="AH16"/>
  <c r="AH17"/>
  <c r="P18"/>
  <c r="Q18" s="1"/>
  <c r="P19"/>
  <c r="Q19" s="1"/>
  <c r="AH19"/>
  <c r="P20"/>
  <c r="Q20" s="1"/>
  <c r="AH20"/>
  <c r="P21"/>
  <c r="Q21" s="1"/>
  <c r="AH21"/>
  <c r="AE22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30"/>
  <c r="Q3" s="1"/>
  <c r="AE3"/>
  <c r="P4"/>
  <c r="Q4" s="1"/>
  <c r="AE4"/>
  <c r="AG4" s="1"/>
  <c r="AH4" s="1"/>
  <c r="P5"/>
  <c r="Q5" s="1"/>
  <c r="AE5"/>
  <c r="AG5" s="1"/>
  <c r="AH5" s="1"/>
  <c r="P6"/>
  <c r="Q6" s="1"/>
  <c r="AE6"/>
  <c r="AG6" s="1"/>
  <c r="AH6" s="1"/>
  <c r="AE7"/>
  <c r="AF7" s="1"/>
  <c r="P8"/>
  <c r="Q8" s="1"/>
  <c r="AE8"/>
  <c r="AG8" s="1"/>
  <c r="AH8" s="1"/>
  <c r="P9"/>
  <c r="Q9" s="1"/>
  <c r="AE9"/>
  <c r="AG9" s="1"/>
  <c r="AH9" s="1"/>
  <c r="P10"/>
  <c r="Q10" s="1"/>
  <c r="AE10"/>
  <c r="AG10" s="1"/>
  <c r="AH10" s="1"/>
  <c r="P11"/>
  <c r="Q11" s="1"/>
  <c r="AE11"/>
  <c r="AE12"/>
  <c r="AG12" s="1"/>
  <c r="AH12" s="1"/>
  <c r="P13"/>
  <c r="Q13" s="1"/>
  <c r="AE13"/>
  <c r="AG13" s="1"/>
  <c r="AH13" s="1"/>
  <c r="P14"/>
  <c r="Q14" s="1"/>
  <c r="AE14"/>
  <c r="AG14" s="1"/>
  <c r="AH14" s="1"/>
  <c r="P15"/>
  <c r="Q15" s="1"/>
  <c r="AE15"/>
  <c r="AG15" s="1"/>
  <c r="AH15" s="1"/>
  <c r="P16"/>
  <c r="Q16" s="1"/>
  <c r="AE16"/>
  <c r="AE17"/>
  <c r="P18"/>
  <c r="Q18" s="1"/>
  <c r="AE18"/>
  <c r="AG18" s="1"/>
  <c r="AH18" s="1"/>
  <c r="P19"/>
  <c r="Q19" s="1"/>
  <c r="AE19"/>
  <c r="AG19" s="1"/>
  <c r="AH19" s="1"/>
  <c r="P20"/>
  <c r="Q20" s="1"/>
  <c r="AE20"/>
  <c r="AG20" s="1"/>
  <c r="AH20" s="1"/>
  <c r="P21"/>
  <c r="Q21" s="1"/>
  <c r="AE21"/>
  <c r="AG21" s="1"/>
  <c r="AH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/>
  <c r="P53"/>
  <c r="Q53" s="1"/>
  <c r="P54"/>
  <c r="Q54" s="1"/>
  <c r="P56"/>
  <c r="Q56" s="1"/>
  <c r="P57"/>
  <c r="Q57" s="1"/>
  <c r="P58"/>
  <c r="Q58" s="1"/>
  <c r="P59"/>
  <c r="Q59" s="1"/>
  <c r="P60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3" i="12"/>
  <c r="Q3" s="1"/>
  <c r="AE3"/>
  <c r="AG3" s="1"/>
  <c r="AH3" s="1"/>
  <c r="P4"/>
  <c r="Q4" s="1"/>
  <c r="AE4"/>
  <c r="AG4" s="1"/>
  <c r="AH4" s="1"/>
  <c r="P5"/>
  <c r="Q5" s="1"/>
  <c r="AE5"/>
  <c r="AG5" s="1"/>
  <c r="AH5" s="1"/>
  <c r="P6"/>
  <c r="AE6"/>
  <c r="AG6" s="1"/>
  <c r="AH6" s="1"/>
  <c r="AE7"/>
  <c r="AF7" s="1"/>
  <c r="E192"/>
  <c r="P8"/>
  <c r="Q8" s="1"/>
  <c r="AE8"/>
  <c r="AG8" s="1"/>
  <c r="AH8" s="1"/>
  <c r="P9"/>
  <c r="Q9" s="1"/>
  <c r="AE9"/>
  <c r="AF9" s="1"/>
  <c r="P10"/>
  <c r="Q10" s="1"/>
  <c r="AE10"/>
  <c r="AG10" s="1"/>
  <c r="AH10" s="1"/>
  <c r="P11"/>
  <c r="Q11" s="1"/>
  <c r="AE11"/>
  <c r="AG11" s="1"/>
  <c r="AH11" s="1"/>
  <c r="AE12"/>
  <c r="AG12" s="1"/>
  <c r="AH12" s="1"/>
  <c r="P13"/>
  <c r="Q13" s="1"/>
  <c r="AE13"/>
  <c r="AF13" s="1"/>
  <c r="P14"/>
  <c r="Q14" s="1"/>
  <c r="AE14"/>
  <c r="AG14" s="1"/>
  <c r="AH14" s="1"/>
  <c r="P15"/>
  <c r="Q15" s="1"/>
  <c r="AE15"/>
  <c r="AF15" s="1"/>
  <c r="P16"/>
  <c r="Q16" s="1"/>
  <c r="AE16"/>
  <c r="AG16" s="1"/>
  <c r="AH16" s="1"/>
  <c r="AE17"/>
  <c r="P18"/>
  <c r="Q18" s="1"/>
  <c r="AE18"/>
  <c r="AG18" s="1"/>
  <c r="AH18" s="1"/>
  <c r="P19"/>
  <c r="Q19" s="1"/>
  <c r="AE19"/>
  <c r="AF19" s="1"/>
  <c r="P20"/>
  <c r="Q20" s="1"/>
  <c r="AE20"/>
  <c r="AG20" s="1"/>
  <c r="AH20" s="1"/>
  <c r="P21"/>
  <c r="Q21" s="1"/>
  <c r="AE21"/>
  <c r="AF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23"/>
  <c r="Q3" s="1"/>
  <c r="AE3"/>
  <c r="AG3" s="1"/>
  <c r="AH3" s="1"/>
  <c r="P4"/>
  <c r="Q4" s="1"/>
  <c r="AE4"/>
  <c r="AF4" s="1"/>
  <c r="P5"/>
  <c r="Q5" s="1"/>
  <c r="AE5"/>
  <c r="AF5" s="1"/>
  <c r="P6"/>
  <c r="Q6" s="1"/>
  <c r="AE6"/>
  <c r="AE7"/>
  <c r="AG7" s="1"/>
  <c r="AH7" s="1"/>
  <c r="P8"/>
  <c r="Q8" s="1"/>
  <c r="AE8"/>
  <c r="AF8" s="1"/>
  <c r="P9"/>
  <c r="Q9" s="1"/>
  <c r="AE9"/>
  <c r="AG9" s="1"/>
  <c r="AH9" s="1"/>
  <c r="P10"/>
  <c r="Q10" s="1"/>
  <c r="AE10"/>
  <c r="AG10" s="1"/>
  <c r="AH10" s="1"/>
  <c r="P11"/>
  <c r="Q11" s="1"/>
  <c r="AE11"/>
  <c r="AF11" s="1"/>
  <c r="AE12"/>
  <c r="P13"/>
  <c r="Q13" s="1"/>
  <c r="AE13"/>
  <c r="AG13" s="1"/>
  <c r="AH13" s="1"/>
  <c r="P14"/>
  <c r="Q14" s="1"/>
  <c r="AE14"/>
  <c r="AG14" s="1"/>
  <c r="AH14" s="1"/>
  <c r="P15"/>
  <c r="Q15" s="1"/>
  <c r="AE15"/>
  <c r="AG15" s="1"/>
  <c r="AH15" s="1"/>
  <c r="P16"/>
  <c r="Q16" s="1"/>
  <c r="AE16"/>
  <c r="AG16" s="1"/>
  <c r="AH16" s="1"/>
  <c r="AE17"/>
  <c r="AF17" s="1"/>
  <c r="P18"/>
  <c r="Q18" s="1"/>
  <c r="AE18"/>
  <c r="AG18" s="1"/>
  <c r="AH18" s="1"/>
  <c r="P19"/>
  <c r="Q19" s="1"/>
  <c r="AE19"/>
  <c r="AG19" s="1"/>
  <c r="AH19" s="1"/>
  <c r="P20"/>
  <c r="Q20" s="1"/>
  <c r="AE20"/>
  <c r="AF20" s="1"/>
  <c r="P21"/>
  <c r="Q21" s="1"/>
  <c r="AE21"/>
  <c r="AG21" s="1"/>
  <c r="AH21" s="1"/>
  <c r="AE22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/>
  <c r="P183"/>
  <c r="Q183" s="1"/>
  <c r="P184"/>
  <c r="Q184" s="1"/>
  <c r="P185"/>
  <c r="Q185" s="1"/>
  <c r="P3" i="11"/>
  <c r="Q3" s="1"/>
  <c r="AE3"/>
  <c r="AF3" s="1"/>
  <c r="P4"/>
  <c r="Q4" s="1"/>
  <c r="AE4"/>
  <c r="AF4" s="1"/>
  <c r="P5"/>
  <c r="Q5" s="1"/>
  <c r="AE5"/>
  <c r="AG5" s="1"/>
  <c r="AH5" s="1"/>
  <c r="P6"/>
  <c r="Q6" s="1"/>
  <c r="AE6"/>
  <c r="AF6" s="1"/>
  <c r="AE7"/>
  <c r="AG7" s="1"/>
  <c r="AH7" s="1"/>
  <c r="P8"/>
  <c r="AE8"/>
  <c r="AG8" s="1"/>
  <c r="AH8" s="1"/>
  <c r="P9"/>
  <c r="Q9" s="1"/>
  <c r="AE9"/>
  <c r="AF9" s="1"/>
  <c r="P10"/>
  <c r="Q10" s="1"/>
  <c r="AE10"/>
  <c r="AG10" s="1"/>
  <c r="AH10" s="1"/>
  <c r="P11"/>
  <c r="Q11" s="1"/>
  <c r="AE11"/>
  <c r="AG11" s="1"/>
  <c r="AH11" s="1"/>
  <c r="AE12"/>
  <c r="P13"/>
  <c r="Q13" s="1"/>
  <c r="AE13"/>
  <c r="AG13" s="1"/>
  <c r="AH13" s="1"/>
  <c r="P14"/>
  <c r="Q14" s="1"/>
  <c r="AE14"/>
  <c r="AG14" s="1"/>
  <c r="AH14" s="1"/>
  <c r="P15"/>
  <c r="Q15" s="1"/>
  <c r="AE15"/>
  <c r="AF15" s="1"/>
  <c r="P16"/>
  <c r="Q16" s="1"/>
  <c r="AE16"/>
  <c r="AG16" s="1"/>
  <c r="AH16" s="1"/>
  <c r="AE17"/>
  <c r="AF17" s="1"/>
  <c r="P18"/>
  <c r="Q18" s="1"/>
  <c r="AE18"/>
  <c r="P19"/>
  <c r="Q19" s="1"/>
  <c r="AE19"/>
  <c r="P20"/>
  <c r="Q20" s="1"/>
  <c r="AE20"/>
  <c r="AG20" s="1"/>
  <c r="AH20" s="1"/>
  <c r="P21"/>
  <c r="Q21" s="1"/>
  <c r="AE21"/>
  <c r="AG21" s="1"/>
  <c r="AH21" s="1"/>
  <c r="AE22"/>
  <c r="AF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25"/>
  <c r="Q3" s="1"/>
  <c r="AE3"/>
  <c r="AG3" s="1"/>
  <c r="AH3" s="1"/>
  <c r="P4"/>
  <c r="Q4" s="1"/>
  <c r="AE4"/>
  <c r="AG4" s="1"/>
  <c r="AH4" s="1"/>
  <c r="P5"/>
  <c r="AE5"/>
  <c r="AG5" s="1"/>
  <c r="AH5" s="1"/>
  <c r="P6"/>
  <c r="Q6" s="1"/>
  <c r="AE6"/>
  <c r="AF6" s="1"/>
  <c r="AE7"/>
  <c r="AG7" s="1"/>
  <c r="AH7" s="1"/>
  <c r="AF7"/>
  <c r="P8"/>
  <c r="Q8" s="1"/>
  <c r="AE8"/>
  <c r="AG8" s="1"/>
  <c r="AH8" s="1"/>
  <c r="P9"/>
  <c r="Q9" s="1"/>
  <c r="AE9"/>
  <c r="AG9" s="1"/>
  <c r="AH9" s="1"/>
  <c r="P10"/>
  <c r="Q10" s="1"/>
  <c r="AE10"/>
  <c r="AG10" s="1"/>
  <c r="AH10" s="1"/>
  <c r="P11"/>
  <c r="Q11" s="1"/>
  <c r="AE11"/>
  <c r="AG11" s="1"/>
  <c r="AH11" s="1"/>
  <c r="AE12"/>
  <c r="AF12" s="1"/>
  <c r="P13"/>
  <c r="Q13" s="1"/>
  <c r="AE13"/>
  <c r="AG13" s="1"/>
  <c r="AH13" s="1"/>
  <c r="P14"/>
  <c r="Q14" s="1"/>
  <c r="AE14"/>
  <c r="AG14" s="1"/>
  <c r="AH14" s="1"/>
  <c r="P15"/>
  <c r="Q15" s="1"/>
  <c r="AE15"/>
  <c r="AF15" s="1"/>
  <c r="P16"/>
  <c r="Q16" s="1"/>
  <c r="AE16"/>
  <c r="AF16" s="1"/>
  <c r="AE17"/>
  <c r="P18"/>
  <c r="Q18" s="1"/>
  <c r="AE18"/>
  <c r="AF18" s="1"/>
  <c r="P19"/>
  <c r="Q19" s="1"/>
  <c r="AE19"/>
  <c r="AF19" s="1"/>
  <c r="P20"/>
  <c r="Q20" s="1"/>
  <c r="AE20"/>
  <c r="AG20" s="1"/>
  <c r="AH20" s="1"/>
  <c r="P21"/>
  <c r="Q21" s="1"/>
  <c r="AE21"/>
  <c r="AF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3" i="18"/>
  <c r="Q3" s="1"/>
  <c r="AE3"/>
  <c r="AG3" s="1"/>
  <c r="AH3" s="1"/>
  <c r="P4"/>
  <c r="AE4"/>
  <c r="AG4" s="1"/>
  <c r="AH4" s="1"/>
  <c r="P5"/>
  <c r="Q5" s="1"/>
  <c r="AE5"/>
  <c r="AF5" s="1"/>
  <c r="P6"/>
  <c r="Q6" s="1"/>
  <c r="AE6"/>
  <c r="AE7"/>
  <c r="P8"/>
  <c r="Q8" s="1"/>
  <c r="AE8"/>
  <c r="AF8" s="1"/>
  <c r="P9"/>
  <c r="Q9" s="1"/>
  <c r="AE9"/>
  <c r="AF9" s="1"/>
  <c r="P10"/>
  <c r="Q10" s="1"/>
  <c r="AE10"/>
  <c r="AG10" s="1"/>
  <c r="AH10" s="1"/>
  <c r="P11"/>
  <c r="Q11" s="1"/>
  <c r="AE11"/>
  <c r="AG11" s="1"/>
  <c r="AH11" s="1"/>
  <c r="AE12"/>
  <c r="AG12" s="1"/>
  <c r="AH12" s="1"/>
  <c r="P13"/>
  <c r="Q13" s="1"/>
  <c r="AE13"/>
  <c r="P14"/>
  <c r="Q14" s="1"/>
  <c r="AE14"/>
  <c r="AF14" s="1"/>
  <c r="P15"/>
  <c r="Q15" s="1"/>
  <c r="AE15"/>
  <c r="AG15" s="1"/>
  <c r="AH15" s="1"/>
  <c r="P16"/>
  <c r="Q16" s="1"/>
  <c r="AE16"/>
  <c r="AG16" s="1"/>
  <c r="AH16" s="1"/>
  <c r="AE17"/>
  <c r="AG17" s="1"/>
  <c r="AH17" s="1"/>
  <c r="P18"/>
  <c r="Q18" s="1"/>
  <c r="AE18"/>
  <c r="AG18" s="1"/>
  <c r="AH18" s="1"/>
  <c r="P19"/>
  <c r="Q19" s="1"/>
  <c r="AE19"/>
  <c r="P20"/>
  <c r="Q20" s="1"/>
  <c r="AE20"/>
  <c r="AF20" s="1"/>
  <c r="P21"/>
  <c r="Q21" s="1"/>
  <c r="AE21"/>
  <c r="AF21" s="1"/>
  <c r="AE22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10"/>
  <c r="AE3"/>
  <c r="AF3" s="1"/>
  <c r="P4"/>
  <c r="Q4" s="1"/>
  <c r="AE4"/>
  <c r="AG4" s="1"/>
  <c r="AH4" s="1"/>
  <c r="P5"/>
  <c r="Q5" s="1"/>
  <c r="AE5"/>
  <c r="AF5" s="1"/>
  <c r="P6"/>
  <c r="Q6" s="1"/>
  <c r="AE6"/>
  <c r="AE7"/>
  <c r="AF7" s="1"/>
  <c r="P8"/>
  <c r="Q8" s="1"/>
  <c r="AE8"/>
  <c r="AG8" s="1"/>
  <c r="AH8" s="1"/>
  <c r="P9"/>
  <c r="Q9" s="1"/>
  <c r="AE9"/>
  <c r="AF9" s="1"/>
  <c r="AG9"/>
  <c r="AH9" s="1"/>
  <c r="P10"/>
  <c r="Q10" s="1"/>
  <c r="AE10"/>
  <c r="AF10" s="1"/>
  <c r="P11"/>
  <c r="Q11" s="1"/>
  <c r="AE11"/>
  <c r="AG11" s="1"/>
  <c r="AH11" s="1"/>
  <c r="AE12"/>
  <c r="AF12" s="1"/>
  <c r="P13"/>
  <c r="Q13" s="1"/>
  <c r="AE13"/>
  <c r="AF13" s="1"/>
  <c r="P14"/>
  <c r="Q14" s="1"/>
  <c r="AE14"/>
  <c r="AF14" s="1"/>
  <c r="P15"/>
  <c r="Q15" s="1"/>
  <c r="AE15"/>
  <c r="AG15" s="1"/>
  <c r="AH15" s="1"/>
  <c r="P16"/>
  <c r="Q16" s="1"/>
  <c r="AE16"/>
  <c r="AG16" s="1"/>
  <c r="AH16" s="1"/>
  <c r="AE17"/>
  <c r="AF17" s="1"/>
  <c r="P18"/>
  <c r="Q18" s="1"/>
  <c r="AE18"/>
  <c r="P19"/>
  <c r="Q19" s="1"/>
  <c r="AE19"/>
  <c r="AF19" s="1"/>
  <c r="P20"/>
  <c r="Q20" s="1"/>
  <c r="AE20"/>
  <c r="AG20" s="1"/>
  <c r="AH20" s="1"/>
  <c r="P21"/>
  <c r="Q21" s="1"/>
  <c r="AE21"/>
  <c r="AG21" s="1"/>
  <c r="AH21" s="1"/>
  <c r="AE22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20"/>
  <c r="Q3" s="1"/>
  <c r="AE3"/>
  <c r="AF3" s="1"/>
  <c r="P4"/>
  <c r="Q4" s="1"/>
  <c r="AE4"/>
  <c r="AF4" s="1"/>
  <c r="P5"/>
  <c r="Q5" s="1"/>
  <c r="AE5"/>
  <c r="AG5" s="1"/>
  <c r="AH5" s="1"/>
  <c r="P6"/>
  <c r="Q6" s="1"/>
  <c r="AE6"/>
  <c r="AF6" s="1"/>
  <c r="AE7"/>
  <c r="E192"/>
  <c r="P8"/>
  <c r="Q8" s="1"/>
  <c r="AE8"/>
  <c r="AF8" s="1"/>
  <c r="P9"/>
  <c r="Q9" s="1"/>
  <c r="AE9"/>
  <c r="AF9" s="1"/>
  <c r="P10"/>
  <c r="Q10"/>
  <c r="AE10"/>
  <c r="AF10" s="1"/>
  <c r="P11"/>
  <c r="Q11" s="1"/>
  <c r="AE11"/>
  <c r="AF11" s="1"/>
  <c r="AE12"/>
  <c r="P13"/>
  <c r="Q13" s="1"/>
  <c r="AE13"/>
  <c r="P14"/>
  <c r="Q14" s="1"/>
  <c r="AE14"/>
  <c r="AF14" s="1"/>
  <c r="P15"/>
  <c r="Q15" s="1"/>
  <c r="AE15"/>
  <c r="AF15" s="1"/>
  <c r="P16"/>
  <c r="Q16" s="1"/>
  <c r="AE16"/>
  <c r="AF16" s="1"/>
  <c r="AE17"/>
  <c r="AG17" s="1"/>
  <c r="AH17" s="1"/>
  <c r="P18"/>
  <c r="Q18" s="1"/>
  <c r="AE18"/>
  <c r="AG18" s="1"/>
  <c r="AH18" s="1"/>
  <c r="P19"/>
  <c r="Q19" s="1"/>
  <c r="AE19"/>
  <c r="P20"/>
  <c r="Q20" s="1"/>
  <c r="AE20"/>
  <c r="AF20" s="1"/>
  <c r="P21"/>
  <c r="Q21" s="1"/>
  <c r="AE2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3" i="7"/>
  <c r="Q3" s="1"/>
  <c r="AE3"/>
  <c r="P4"/>
  <c r="Q4" s="1"/>
  <c r="AE4"/>
  <c r="P5"/>
  <c r="Q5" s="1"/>
  <c r="AE5"/>
  <c r="AF5" s="1"/>
  <c r="AG5" s="1"/>
  <c r="AH5" s="1"/>
  <c r="P6"/>
  <c r="Q6" s="1"/>
  <c r="AE6"/>
  <c r="AE7"/>
  <c r="AF7" s="1"/>
  <c r="AG7" s="1"/>
  <c r="AH7" s="1"/>
  <c r="P8"/>
  <c r="Q8" s="1"/>
  <c r="AE8"/>
  <c r="AF8" s="1"/>
  <c r="AG8" s="1"/>
  <c r="AH8" s="1"/>
  <c r="P9"/>
  <c r="Q9" s="1"/>
  <c r="AE9"/>
  <c r="AF9" s="1"/>
  <c r="AG9" s="1"/>
  <c r="AH9" s="1"/>
  <c r="P10"/>
  <c r="Q10" s="1"/>
  <c r="AE10"/>
  <c r="AG10" s="1"/>
  <c r="AH10" s="1"/>
  <c r="P11"/>
  <c r="Q11" s="1"/>
  <c r="AE11"/>
  <c r="AE12"/>
  <c r="AG12" s="1"/>
  <c r="AH12" s="1"/>
  <c r="P13"/>
  <c r="AE13"/>
  <c r="AG13" s="1"/>
  <c r="AH13" s="1"/>
  <c r="P14"/>
  <c r="Q14" s="1"/>
  <c r="AE14"/>
  <c r="AG14" s="1"/>
  <c r="AH14" s="1"/>
  <c r="P15"/>
  <c r="Q15" s="1"/>
  <c r="AE15"/>
  <c r="AG15" s="1"/>
  <c r="AH15" s="1"/>
  <c r="P16"/>
  <c r="Q16" s="1"/>
  <c r="AE16"/>
  <c r="AF16" s="1"/>
  <c r="AE17"/>
  <c r="AF17" s="1"/>
  <c r="P18"/>
  <c r="Q18" s="1"/>
  <c r="AE18"/>
  <c r="AG18" s="1"/>
  <c r="AH18" s="1"/>
  <c r="P19"/>
  <c r="Q19" s="1"/>
  <c r="AE19"/>
  <c r="AF19" s="1"/>
  <c r="P20"/>
  <c r="Q20" s="1"/>
  <c r="AE20"/>
  <c r="AG20" s="1"/>
  <c r="AH20" s="1"/>
  <c r="P21"/>
  <c r="Q21" s="1"/>
  <c r="AE21"/>
  <c r="AG21" s="1"/>
  <c r="AH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3"/>
  <c r="Q3" s="1"/>
  <c r="AE3"/>
  <c r="AG3" s="1"/>
  <c r="AH3" s="1"/>
  <c r="P4"/>
  <c r="Q4" s="1"/>
  <c r="AE4"/>
  <c r="AG4" s="1"/>
  <c r="AH4" s="1"/>
  <c r="P5"/>
  <c r="Q5" s="1"/>
  <c r="AE5"/>
  <c r="AF5" s="1"/>
  <c r="P6"/>
  <c r="Q6" s="1"/>
  <c r="AE6"/>
  <c r="AF6" s="1"/>
  <c r="AE7"/>
  <c r="AG7" s="1"/>
  <c r="AH7" s="1"/>
  <c r="P8"/>
  <c r="Q8" s="1"/>
  <c r="AE8"/>
  <c r="AG8" s="1"/>
  <c r="AH8" s="1"/>
  <c r="P9"/>
  <c r="Q9" s="1"/>
  <c r="AE9"/>
  <c r="AG9" s="1"/>
  <c r="AH9" s="1"/>
  <c r="P10"/>
  <c r="Q10" s="1"/>
  <c r="AE10"/>
  <c r="P11"/>
  <c r="Q11" s="1"/>
  <c r="AE11"/>
  <c r="AG11" s="1"/>
  <c r="AH11" s="1"/>
  <c r="AE12"/>
  <c r="AG12" s="1"/>
  <c r="AH12" s="1"/>
  <c r="P13"/>
  <c r="Q13" s="1"/>
  <c r="AE13"/>
  <c r="AG13" s="1"/>
  <c r="AH13" s="1"/>
  <c r="P14"/>
  <c r="Q14" s="1"/>
  <c r="AE14"/>
  <c r="AG14" s="1"/>
  <c r="AH14" s="1"/>
  <c r="P15"/>
  <c r="Q15" s="1"/>
  <c r="AE15"/>
  <c r="AG15" s="1"/>
  <c r="AH15" s="1"/>
  <c r="P16"/>
  <c r="Q16" s="1"/>
  <c r="AE16"/>
  <c r="AE17"/>
  <c r="P18"/>
  <c r="Q18" s="1"/>
  <c r="AE18"/>
  <c r="AG18" s="1"/>
  <c r="AH18" s="1"/>
  <c r="P19"/>
  <c r="Q19" s="1"/>
  <c r="AE19"/>
  <c r="AF19" s="1"/>
  <c r="P20"/>
  <c r="Q20" s="1"/>
  <c r="AE20"/>
  <c r="AF20" s="1"/>
  <c r="P21"/>
  <c r="Q21" s="1"/>
  <c r="AE21"/>
  <c r="AG21" s="1"/>
  <c r="AH21" s="1"/>
  <c r="AE22"/>
  <c r="AF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/>
  <c r="P68"/>
  <c r="Q68" s="1"/>
  <c r="P69"/>
  <c r="Q69" s="1"/>
  <c r="P71"/>
  <c r="Q71" s="1"/>
  <c r="P72"/>
  <c r="Q72" s="1"/>
  <c r="P73"/>
  <c r="Q73" s="1"/>
  <c r="P74"/>
  <c r="Q74" s="1"/>
  <c r="P75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24"/>
  <c r="Q3" s="1"/>
  <c r="AE3"/>
  <c r="P4"/>
  <c r="Q4" s="1"/>
  <c r="AE4"/>
  <c r="AG4" s="1"/>
  <c r="AH4" s="1"/>
  <c r="P5"/>
  <c r="Q5" s="1"/>
  <c r="AE5"/>
  <c r="AG5" s="1"/>
  <c r="AH5" s="1"/>
  <c r="P6"/>
  <c r="Q6" s="1"/>
  <c r="AE6"/>
  <c r="AG6" s="1"/>
  <c r="AH6" s="1"/>
  <c r="AE7"/>
  <c r="P8"/>
  <c r="Q8" s="1"/>
  <c r="AE8"/>
  <c r="AG8" s="1"/>
  <c r="AH8" s="1"/>
  <c r="P9"/>
  <c r="Q9" s="1"/>
  <c r="AE9"/>
  <c r="AF9" s="1"/>
  <c r="P10"/>
  <c r="Q10" s="1"/>
  <c r="AE10"/>
  <c r="AG10" s="1"/>
  <c r="AH10" s="1"/>
  <c r="P11"/>
  <c r="Q11" s="1"/>
  <c r="AE11"/>
  <c r="AG11" s="1"/>
  <c r="AH11" s="1"/>
  <c r="AE12"/>
  <c r="P13"/>
  <c r="Q13" s="1"/>
  <c r="AE13"/>
  <c r="P14"/>
  <c r="Q14" s="1"/>
  <c r="AE14"/>
  <c r="AF14" s="1"/>
  <c r="P15"/>
  <c r="Q15" s="1"/>
  <c r="AE15"/>
  <c r="AF15" s="1"/>
  <c r="P16"/>
  <c r="Q16" s="1"/>
  <c r="AE16"/>
  <c r="AG16" s="1"/>
  <c r="AH16" s="1"/>
  <c r="AE17"/>
  <c r="AG17" s="1"/>
  <c r="AH17" s="1"/>
  <c r="P18"/>
  <c r="Q18" s="1"/>
  <c r="AE18"/>
  <c r="P19"/>
  <c r="Q19" s="1"/>
  <c r="AE19"/>
  <c r="P20"/>
  <c r="Q20" s="1"/>
  <c r="AE20"/>
  <c r="AG20" s="1"/>
  <c r="AH20" s="1"/>
  <c r="P21"/>
  <c r="Q21" s="1"/>
  <c r="AE21"/>
  <c r="AF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3" i="32"/>
  <c r="AE3"/>
  <c r="P4"/>
  <c r="Q4" s="1"/>
  <c r="AE4"/>
  <c r="AG4" s="1"/>
  <c r="AH4" s="1"/>
  <c r="P5"/>
  <c r="Q5" s="1"/>
  <c r="AE5"/>
  <c r="AF5" s="1"/>
  <c r="P6"/>
  <c r="Q6" s="1"/>
  <c r="AE6"/>
  <c r="AG6" s="1"/>
  <c r="AH6" s="1"/>
  <c r="AE7"/>
  <c r="AF7" s="1"/>
  <c r="P8"/>
  <c r="Q8" s="1"/>
  <c r="AE8"/>
  <c r="P9"/>
  <c r="Q9" s="1"/>
  <c r="AE9"/>
  <c r="AG9" s="1"/>
  <c r="AH9" s="1"/>
  <c r="P10"/>
  <c r="Q10" s="1"/>
  <c r="AE10"/>
  <c r="AG10" s="1"/>
  <c r="AH10" s="1"/>
  <c r="P11"/>
  <c r="Q11" s="1"/>
  <c r="AE11"/>
  <c r="AF11" s="1"/>
  <c r="AE12"/>
  <c r="AG12" s="1"/>
  <c r="AH12" s="1"/>
  <c r="P13"/>
  <c r="Q13" s="1"/>
  <c r="AE13"/>
  <c r="AG13" s="1"/>
  <c r="AH13" s="1"/>
  <c r="P14"/>
  <c r="Q14" s="1"/>
  <c r="AE14"/>
  <c r="AF14" s="1"/>
  <c r="P15"/>
  <c r="Q15" s="1"/>
  <c r="AE15"/>
  <c r="AG15" s="1"/>
  <c r="AH15" s="1"/>
  <c r="P16"/>
  <c r="Q16" s="1"/>
  <c r="AE16"/>
  <c r="AG16" s="1"/>
  <c r="AH16" s="1"/>
  <c r="AE17"/>
  <c r="AF17" s="1"/>
  <c r="P18"/>
  <c r="Q18" s="1"/>
  <c r="AE18"/>
  <c r="AG18" s="1"/>
  <c r="AH18" s="1"/>
  <c r="P19"/>
  <c r="Q19" s="1"/>
  <c r="AE19"/>
  <c r="AF19" s="1"/>
  <c r="P20"/>
  <c r="Q20" s="1"/>
  <c r="AE20"/>
  <c r="AF20" s="1"/>
  <c r="P21"/>
  <c r="Q21" s="1"/>
  <c r="AE21"/>
  <c r="AG21" s="1"/>
  <c r="AH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4"/>
  <c r="Q3" s="1"/>
  <c r="AE3"/>
  <c r="AG3" s="1"/>
  <c r="AH3" s="1"/>
  <c r="P4"/>
  <c r="Q4" s="1"/>
  <c r="AE4"/>
  <c r="AG4" s="1"/>
  <c r="AH4" s="1"/>
  <c r="P5"/>
  <c r="Q5" s="1"/>
  <c r="AE5"/>
  <c r="AF5" s="1"/>
  <c r="P6"/>
  <c r="Q6" s="1"/>
  <c r="AE6"/>
  <c r="AG6" s="1"/>
  <c r="AH6" s="1"/>
  <c r="AE7"/>
  <c r="AG7" s="1"/>
  <c r="AH7" s="1"/>
  <c r="P8"/>
  <c r="Q8" s="1"/>
  <c r="AE8"/>
  <c r="P9"/>
  <c r="AE9"/>
  <c r="P10"/>
  <c r="Q10" s="1"/>
  <c r="AE10"/>
  <c r="AG10" s="1"/>
  <c r="AH10" s="1"/>
  <c r="P11"/>
  <c r="Q11" s="1"/>
  <c r="AE11"/>
  <c r="AF11" s="1"/>
  <c r="AE12"/>
  <c r="AG12" s="1"/>
  <c r="AH12" s="1"/>
  <c r="P13"/>
  <c r="Q13" s="1"/>
  <c r="AE13"/>
  <c r="AG13" s="1"/>
  <c r="AH13" s="1"/>
  <c r="P14"/>
  <c r="Q14" s="1"/>
  <c r="AE14"/>
  <c r="P15"/>
  <c r="Q15" s="1"/>
  <c r="AE15"/>
  <c r="P16"/>
  <c r="Q16" s="1"/>
  <c r="AE16"/>
  <c r="AG16" s="1"/>
  <c r="AH16" s="1"/>
  <c r="AE17"/>
  <c r="AG17" s="1"/>
  <c r="AH17" s="1"/>
  <c r="P18"/>
  <c r="Q18" s="1"/>
  <c r="AE18"/>
  <c r="AF18" s="1"/>
  <c r="P19"/>
  <c r="Q19" s="1"/>
  <c r="AE19"/>
  <c r="AG19" s="1"/>
  <c r="AH19" s="1"/>
  <c r="P20"/>
  <c r="Q20" s="1"/>
  <c r="AE20"/>
  <c r="AG20" s="1"/>
  <c r="AH20" s="1"/>
  <c r="P21"/>
  <c r="Q21" s="1"/>
  <c r="AE2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5"/>
  <c r="Q3" s="1"/>
  <c r="AE3"/>
  <c r="AG3" s="1"/>
  <c r="AH3" s="1"/>
  <c r="P4"/>
  <c r="AE4"/>
  <c r="P5"/>
  <c r="Q5" s="1"/>
  <c r="AE5"/>
  <c r="AF5" s="1"/>
  <c r="P6"/>
  <c r="Q6" s="1"/>
  <c r="AE6"/>
  <c r="AG6" s="1"/>
  <c r="AH6" s="1"/>
  <c r="AE7"/>
  <c r="P8"/>
  <c r="Q8" s="1"/>
  <c r="AE8"/>
  <c r="AF8" s="1"/>
  <c r="P9"/>
  <c r="Q9" s="1"/>
  <c r="AE9"/>
  <c r="AG9" s="1"/>
  <c r="AH9" s="1"/>
  <c r="P10"/>
  <c r="Q10" s="1"/>
  <c r="AE10"/>
  <c r="AG10" s="1"/>
  <c r="AH10" s="1"/>
  <c r="P11"/>
  <c r="Q11" s="1"/>
  <c r="AE11"/>
  <c r="AG11" s="1"/>
  <c r="AH11" s="1"/>
  <c r="AE12"/>
  <c r="P13"/>
  <c r="Q13" s="1"/>
  <c r="AE13"/>
  <c r="AG13" s="1"/>
  <c r="AH13" s="1"/>
  <c r="P14"/>
  <c r="Q14" s="1"/>
  <c r="AE14"/>
  <c r="AF14" s="1"/>
  <c r="P15"/>
  <c r="Q15" s="1"/>
  <c r="AE15"/>
  <c r="AG15" s="1"/>
  <c r="AH15" s="1"/>
  <c r="P16"/>
  <c r="Q16" s="1"/>
  <c r="AE16"/>
  <c r="AF16" s="1"/>
  <c r="AE17"/>
  <c r="P18"/>
  <c r="Q18" s="1"/>
  <c r="AE18"/>
  <c r="P19"/>
  <c r="Q19" s="1"/>
  <c r="AE19"/>
  <c r="AG19" s="1"/>
  <c r="AH19" s="1"/>
  <c r="P20"/>
  <c r="Q20" s="1"/>
  <c r="AE20"/>
  <c r="AF20" s="1"/>
  <c r="P21"/>
  <c r="Q21" s="1"/>
  <c r="AE21"/>
  <c r="AG21" s="1"/>
  <c r="AH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22"/>
  <c r="Q3" s="1"/>
  <c r="AE3"/>
  <c r="AG3" s="1"/>
  <c r="AH3" s="1"/>
  <c r="P4"/>
  <c r="Q4" s="1"/>
  <c r="AE4"/>
  <c r="AF4" s="1"/>
  <c r="P5"/>
  <c r="Q5" s="1"/>
  <c r="AE5"/>
  <c r="P6"/>
  <c r="Q6" s="1"/>
  <c r="AE6"/>
  <c r="AG6" s="1"/>
  <c r="AH6" s="1"/>
  <c r="AE7"/>
  <c r="AG7" s="1"/>
  <c r="AH7" s="1"/>
  <c r="P8"/>
  <c r="Q8" s="1"/>
  <c r="AE8"/>
  <c r="AF8" s="1"/>
  <c r="P9"/>
  <c r="Q9" s="1"/>
  <c r="AE9"/>
  <c r="AG9" s="1"/>
  <c r="AH9" s="1"/>
  <c r="P10"/>
  <c r="Q10" s="1"/>
  <c r="AE10"/>
  <c r="AG10" s="1"/>
  <c r="AH10" s="1"/>
  <c r="P11"/>
  <c r="Q11" s="1"/>
  <c r="AE11"/>
  <c r="AE12"/>
  <c r="AG12" s="1"/>
  <c r="AH12" s="1"/>
  <c r="P13"/>
  <c r="Q13" s="1"/>
  <c r="AE13"/>
  <c r="AG13" s="1"/>
  <c r="AH13" s="1"/>
  <c r="P14"/>
  <c r="Q14" s="1"/>
  <c r="AE14"/>
  <c r="AF14" s="1"/>
  <c r="P15"/>
  <c r="Q15" s="1"/>
  <c r="AE15"/>
  <c r="AG15" s="1"/>
  <c r="AH15" s="1"/>
  <c r="P16"/>
  <c r="Q16" s="1"/>
  <c r="AE16"/>
  <c r="AE17"/>
  <c r="P18"/>
  <c r="Q18" s="1"/>
  <c r="AE18"/>
  <c r="AG18" s="1"/>
  <c r="AH18" s="1"/>
  <c r="P19"/>
  <c r="Q19" s="1"/>
  <c r="AE19"/>
  <c r="AG19" s="1"/>
  <c r="AH19" s="1"/>
  <c r="P20"/>
  <c r="Q20" s="1"/>
  <c r="AE20"/>
  <c r="AF20" s="1"/>
  <c r="AG20"/>
  <c r="AH20" s="1"/>
  <c r="P21"/>
  <c r="Q21" s="1"/>
  <c r="AE21"/>
  <c r="AG21" s="1"/>
  <c r="AH21" s="1"/>
  <c r="AE22"/>
  <c r="AG22" s="1"/>
  <c r="AH22" s="1"/>
  <c r="P23"/>
  <c r="Q23" s="1"/>
  <c r="P24"/>
  <c r="Q24" s="1"/>
  <c r="P25"/>
  <c r="Q25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/>
  <c r="P123"/>
  <c r="Q123" s="1"/>
  <c r="P125"/>
  <c r="Q125" s="1"/>
  <c r="P126"/>
  <c r="Q126" s="1"/>
  <c r="P127"/>
  <c r="Q127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3" i="19"/>
  <c r="AE3"/>
  <c r="P4"/>
  <c r="Q4" s="1"/>
  <c r="AE4"/>
  <c r="AG4" s="1"/>
  <c r="AH4" s="1"/>
  <c r="P5"/>
  <c r="Q5" s="1"/>
  <c r="AE5"/>
  <c r="P6"/>
  <c r="Q6" s="1"/>
  <c r="AE6"/>
  <c r="AG6" s="1"/>
  <c r="AH6" s="1"/>
  <c r="AE7"/>
  <c r="AG7" s="1"/>
  <c r="AH7" s="1"/>
  <c r="P8"/>
  <c r="Q8" s="1"/>
  <c r="AE8"/>
  <c r="AF8" s="1"/>
  <c r="P9"/>
  <c r="Q9" s="1"/>
  <c r="AE9"/>
  <c r="AG9" s="1"/>
  <c r="AH9" s="1"/>
  <c r="P10"/>
  <c r="Q10" s="1"/>
  <c r="AE10"/>
  <c r="AG10" s="1"/>
  <c r="AH10" s="1"/>
  <c r="P11"/>
  <c r="Q11" s="1"/>
  <c r="AE11"/>
  <c r="AG11" s="1"/>
  <c r="AH11" s="1"/>
  <c r="AE12"/>
  <c r="P13"/>
  <c r="Q13" s="1"/>
  <c r="AE13"/>
  <c r="AG13" s="1"/>
  <c r="AH13" s="1"/>
  <c r="P14"/>
  <c r="Q14" s="1"/>
  <c r="AE14"/>
  <c r="AF14" s="1"/>
  <c r="P15"/>
  <c r="Q15" s="1"/>
  <c r="AE15"/>
  <c r="AG15" s="1"/>
  <c r="AH15" s="1"/>
  <c r="P16"/>
  <c r="Q16" s="1"/>
  <c r="AE16"/>
  <c r="AG16" s="1"/>
  <c r="AH16" s="1"/>
  <c r="AE17"/>
  <c r="AG17" s="1"/>
  <c r="AH17" s="1"/>
  <c r="P18"/>
  <c r="Q18" s="1"/>
  <c r="AE18"/>
  <c r="P19"/>
  <c r="Q19" s="1"/>
  <c r="AE19"/>
  <c r="AG19" s="1"/>
  <c r="AH19" s="1"/>
  <c r="P20"/>
  <c r="Q20" s="1"/>
  <c r="AE20"/>
  <c r="P21"/>
  <c r="Q21" s="1"/>
  <c r="AE21"/>
  <c r="AG21" s="1"/>
  <c r="AH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2"/>
  <c r="AE3"/>
  <c r="AF3" s="1"/>
  <c r="AG3" s="1"/>
  <c r="AH3" s="1"/>
  <c r="P4"/>
  <c r="Q4" s="1"/>
  <c r="AE4"/>
  <c r="P5"/>
  <c r="Q5" s="1"/>
  <c r="AE5"/>
  <c r="AF5" s="1"/>
  <c r="P6"/>
  <c r="Q6" s="1"/>
  <c r="AE6"/>
  <c r="AF6" s="1"/>
  <c r="AE7"/>
  <c r="AF7" s="1"/>
  <c r="P8"/>
  <c r="Q8" s="1"/>
  <c r="AE8"/>
  <c r="AF8" s="1"/>
  <c r="AG8" s="1"/>
  <c r="AH8" s="1"/>
  <c r="P9"/>
  <c r="Q9" s="1"/>
  <c r="AE9"/>
  <c r="AG9" s="1"/>
  <c r="AH9" s="1"/>
  <c r="P10"/>
  <c r="Q10" s="1"/>
  <c r="AE10"/>
  <c r="P11"/>
  <c r="Q11" s="1"/>
  <c r="AE11"/>
  <c r="AE12"/>
  <c r="P13"/>
  <c r="Q13" s="1"/>
  <c r="AE13"/>
  <c r="AG13" s="1"/>
  <c r="AH13" s="1"/>
  <c r="P14"/>
  <c r="Q14" s="1"/>
  <c r="AE14"/>
  <c r="AG14" s="1"/>
  <c r="AH14" s="1"/>
  <c r="P15"/>
  <c r="Q15" s="1"/>
  <c r="AE15"/>
  <c r="AG15" s="1"/>
  <c r="AH15" s="1"/>
  <c r="P16"/>
  <c r="Q16" s="1"/>
  <c r="AE16"/>
  <c r="AE17"/>
  <c r="AG17" s="1"/>
  <c r="AH17" s="1"/>
  <c r="P18"/>
  <c r="Q18" s="1"/>
  <c r="AE18"/>
  <c r="AF18" s="1"/>
  <c r="P19"/>
  <c r="Q19" s="1"/>
  <c r="AE19"/>
  <c r="AG19" s="1"/>
  <c r="AH19" s="1"/>
  <c r="P20"/>
  <c r="Q20" s="1"/>
  <c r="AE20"/>
  <c r="AF20" s="1"/>
  <c r="P21"/>
  <c r="Q21" s="1"/>
  <c r="AE21"/>
  <c r="AG21" s="1"/>
  <c r="AH21" s="1"/>
  <c r="AE22"/>
  <c r="AF22" s="1"/>
  <c r="P23"/>
  <c r="Q23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/>
  <c r="P85"/>
  <c r="Q85" s="1"/>
  <c r="P86"/>
  <c r="Q86" s="1"/>
  <c r="P87"/>
  <c r="Q87" s="1"/>
  <c r="P88"/>
  <c r="Q88" s="1"/>
  <c r="P89"/>
  <c r="Q89" s="1"/>
  <c r="P91"/>
  <c r="Q91" s="1"/>
  <c r="P92"/>
  <c r="Q92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26"/>
  <c r="AE3"/>
  <c r="P4"/>
  <c r="Q4" s="1"/>
  <c r="AE4"/>
  <c r="AF4" s="1"/>
  <c r="P5"/>
  <c r="Q5" s="1"/>
  <c r="AE5"/>
  <c r="AF5" s="1"/>
  <c r="P6"/>
  <c r="Q6" s="1"/>
  <c r="AE6"/>
  <c r="AE7"/>
  <c r="P8"/>
  <c r="Q8" s="1"/>
  <c r="AE8"/>
  <c r="AG8" s="1"/>
  <c r="AH8" s="1"/>
  <c r="P9"/>
  <c r="Q9" s="1"/>
  <c r="AE9"/>
  <c r="P10"/>
  <c r="Q10" s="1"/>
  <c r="AE10"/>
  <c r="AG10" s="1"/>
  <c r="AH10" s="1"/>
  <c r="P11"/>
  <c r="Q11" s="1"/>
  <c r="AE11"/>
  <c r="AF11" s="1"/>
  <c r="AE12"/>
  <c r="AG12" s="1"/>
  <c r="AH12" s="1"/>
  <c r="P13"/>
  <c r="Q13" s="1"/>
  <c r="AE13"/>
  <c r="AF13" s="1"/>
  <c r="P14"/>
  <c r="Q14" s="1"/>
  <c r="AE14"/>
  <c r="AG14" s="1"/>
  <c r="AH14" s="1"/>
  <c r="P15"/>
  <c r="Q15" s="1"/>
  <c r="AE15"/>
  <c r="AG15" s="1"/>
  <c r="AH15" s="1"/>
  <c r="P16"/>
  <c r="Q16" s="1"/>
  <c r="AE16"/>
  <c r="AF16" s="1"/>
  <c r="AE17"/>
  <c r="AF17" s="1"/>
  <c r="P18"/>
  <c r="Q18" s="1"/>
  <c r="AE18"/>
  <c r="AG18" s="1"/>
  <c r="AH18" s="1"/>
  <c r="P19"/>
  <c r="Q19" s="1"/>
  <c r="AE19"/>
  <c r="P20"/>
  <c r="Q20" s="1"/>
  <c r="AE20"/>
  <c r="AG20" s="1"/>
  <c r="AH20" s="1"/>
  <c r="P21"/>
  <c r="Q21" s="1"/>
  <c r="AE21"/>
  <c r="AG21" s="1"/>
  <c r="AH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3" i="21"/>
  <c r="Q3" s="1"/>
  <c r="AE3"/>
  <c r="AG3" s="1"/>
  <c r="AH3" s="1"/>
  <c r="P4"/>
  <c r="Q4" s="1"/>
  <c r="AE4"/>
  <c r="AF4" s="1"/>
  <c r="P5"/>
  <c r="Q5" s="1"/>
  <c r="AE5"/>
  <c r="P6"/>
  <c r="Q6" s="1"/>
  <c r="AE6"/>
  <c r="AG6" s="1"/>
  <c r="AH6" s="1"/>
  <c r="AE7"/>
  <c r="AG7" s="1"/>
  <c r="AH7" s="1"/>
  <c r="P8"/>
  <c r="Q8" s="1"/>
  <c r="AE8"/>
  <c r="P9"/>
  <c r="Q9" s="1"/>
  <c r="AE9"/>
  <c r="AG9" s="1"/>
  <c r="AH9" s="1"/>
  <c r="P10"/>
  <c r="Q10" s="1"/>
  <c r="AE10"/>
  <c r="AF10" s="1"/>
  <c r="P11"/>
  <c r="Q11" s="1"/>
  <c r="AE11"/>
  <c r="AG11" s="1"/>
  <c r="AH11" s="1"/>
  <c r="AE12"/>
  <c r="AF12" s="1"/>
  <c r="P13"/>
  <c r="Q13" s="1"/>
  <c r="AE13"/>
  <c r="AG13" s="1"/>
  <c r="AH13" s="1"/>
  <c r="P14"/>
  <c r="Q14" s="1"/>
  <c r="AE14"/>
  <c r="AG14" s="1"/>
  <c r="AH14" s="1"/>
  <c r="P15"/>
  <c r="Q15" s="1"/>
  <c r="AE15"/>
  <c r="AG15" s="1"/>
  <c r="AH15" s="1"/>
  <c r="P16"/>
  <c r="Q16" s="1"/>
  <c r="AE16"/>
  <c r="AF16" s="1"/>
  <c r="AE17"/>
  <c r="AG17" s="1"/>
  <c r="AH17" s="1"/>
  <c r="P18"/>
  <c r="Q18" s="1"/>
  <c r="AE18"/>
  <c r="AF18" s="1"/>
  <c r="P19"/>
  <c r="Q19" s="1"/>
  <c r="AE19"/>
  <c r="AG19" s="1"/>
  <c r="AH19" s="1"/>
  <c r="P20"/>
  <c r="Q20" s="1"/>
  <c r="AE20"/>
  <c r="P21"/>
  <c r="Q21" s="1"/>
  <c r="AE21"/>
  <c r="AG21" s="1"/>
  <c r="AH21" s="1"/>
  <c r="AE22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/>
  <c r="P63"/>
  <c r="Q63" s="1"/>
  <c r="P64"/>
  <c r="Q64" s="1"/>
  <c r="P65"/>
  <c r="Q65" s="1"/>
  <c r="P66"/>
  <c r="Q66" s="1"/>
  <c r="P67"/>
  <c r="Q67" s="1"/>
  <c r="P68"/>
  <c r="Q68" s="1"/>
  <c r="P69"/>
  <c r="Q69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3" i="28"/>
  <c r="Q3" s="1"/>
  <c r="AE3"/>
  <c r="AG3" s="1"/>
  <c r="AH3" s="1"/>
  <c r="P4"/>
  <c r="Q4" s="1"/>
  <c r="AE4"/>
  <c r="AG4" s="1"/>
  <c r="AH4" s="1"/>
  <c r="P5"/>
  <c r="Q5" s="1"/>
  <c r="AE5"/>
  <c r="P6"/>
  <c r="Q6" s="1"/>
  <c r="AE6"/>
  <c r="AE7"/>
  <c r="P8"/>
  <c r="Q8" s="1"/>
  <c r="AE8"/>
  <c r="AG8" s="1"/>
  <c r="AH8" s="1"/>
  <c r="P9"/>
  <c r="Q9" s="1"/>
  <c r="AE9"/>
  <c r="AF9" s="1"/>
  <c r="P10"/>
  <c r="Q10" s="1"/>
  <c r="AE10"/>
  <c r="AG10" s="1"/>
  <c r="AH10" s="1"/>
  <c r="P11"/>
  <c r="Q11" s="1"/>
  <c r="AE11"/>
  <c r="AE12"/>
  <c r="AG12" s="1"/>
  <c r="AH12" s="1"/>
  <c r="P13"/>
  <c r="Q13"/>
  <c r="AE13"/>
  <c r="AF13" s="1"/>
  <c r="P14"/>
  <c r="Q14" s="1"/>
  <c r="AE14"/>
  <c r="AG14" s="1"/>
  <c r="AH14" s="1"/>
  <c r="P15"/>
  <c r="Q15" s="1"/>
  <c r="AE15"/>
  <c r="AF15" s="1"/>
  <c r="P16"/>
  <c r="Q16" s="1"/>
  <c r="AE16"/>
  <c r="AF16" s="1"/>
  <c r="AE17"/>
  <c r="AG17" s="1"/>
  <c r="AH17" s="1"/>
  <c r="P18"/>
  <c r="Q18" s="1"/>
  <c r="AE18"/>
  <c r="AG18" s="1"/>
  <c r="AH18" s="1"/>
  <c r="P19"/>
  <c r="Q19" s="1"/>
  <c r="AE19"/>
  <c r="P20"/>
  <c r="Q20" s="1"/>
  <c r="AE20"/>
  <c r="P21"/>
  <c r="AE21"/>
  <c r="AG21" s="1"/>
  <c r="AH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31"/>
  <c r="Q3" s="1"/>
  <c r="AE3"/>
  <c r="AG3" s="1"/>
  <c r="AH3" s="1"/>
  <c r="P4"/>
  <c r="Q4" s="1"/>
  <c r="AE4"/>
  <c r="P5"/>
  <c r="AE5"/>
  <c r="AG5" s="1"/>
  <c r="AH5" s="1"/>
  <c r="P6"/>
  <c r="Q6" s="1"/>
  <c r="AE6"/>
  <c r="AF6" s="1"/>
  <c r="AE7"/>
  <c r="AG7" s="1"/>
  <c r="AH7" s="1"/>
  <c r="P8"/>
  <c r="Q8" s="1"/>
  <c r="AE8"/>
  <c r="P9"/>
  <c r="Q9" s="1"/>
  <c r="AE9"/>
  <c r="AG9" s="1"/>
  <c r="AH9" s="1"/>
  <c r="P10"/>
  <c r="Q10" s="1"/>
  <c r="AE10"/>
  <c r="AG10" s="1"/>
  <c r="AH10" s="1"/>
  <c r="P11"/>
  <c r="Q11" s="1"/>
  <c r="AE11"/>
  <c r="AG11" s="1"/>
  <c r="AH11" s="1"/>
  <c r="AE12"/>
  <c r="AF12" s="1"/>
  <c r="P13"/>
  <c r="Q13" s="1"/>
  <c r="AE13"/>
  <c r="AG13" s="1"/>
  <c r="AH13" s="1"/>
  <c r="P14"/>
  <c r="Q14" s="1"/>
  <c r="AE14"/>
  <c r="AF14" s="1"/>
  <c r="P15"/>
  <c r="Q15" s="1"/>
  <c r="AE15"/>
  <c r="P16"/>
  <c r="Q16" s="1"/>
  <c r="AE16"/>
  <c r="AE17"/>
  <c r="P18"/>
  <c r="Q18" s="1"/>
  <c r="AE18"/>
  <c r="AG18" s="1"/>
  <c r="AH18" s="1"/>
  <c r="P19"/>
  <c r="Q19" s="1"/>
  <c r="AE19"/>
  <c r="AG19" s="1"/>
  <c r="AH19" s="1"/>
  <c r="P20"/>
  <c r="Q20" s="1"/>
  <c r="AE20"/>
  <c r="AF20" s="1"/>
  <c r="P21"/>
  <c r="Q21" s="1"/>
  <c r="AE21"/>
  <c r="AE22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3" i="27"/>
  <c r="AE3"/>
  <c r="P4"/>
  <c r="Q4" s="1"/>
  <c r="AE4"/>
  <c r="AG4" s="1"/>
  <c r="AH4" s="1"/>
  <c r="P5"/>
  <c r="Q5" s="1"/>
  <c r="AE5"/>
  <c r="AF5" s="1"/>
  <c r="P6"/>
  <c r="Q6" s="1"/>
  <c r="AE6"/>
  <c r="AG6" s="1"/>
  <c r="AH6" s="1"/>
  <c r="AE7"/>
  <c r="AF7" s="1"/>
  <c r="P8"/>
  <c r="Q8" s="1"/>
  <c r="AE8"/>
  <c r="AG8" s="1"/>
  <c r="AH8" s="1"/>
  <c r="P9"/>
  <c r="Q9" s="1"/>
  <c r="AE9"/>
  <c r="P10"/>
  <c r="Q10" s="1"/>
  <c r="AE10"/>
  <c r="AG10" s="1"/>
  <c r="AH10" s="1"/>
  <c r="P11"/>
  <c r="Q11" s="1"/>
  <c r="AE11"/>
  <c r="AE12"/>
  <c r="AG12" s="1"/>
  <c r="AH12" s="1"/>
  <c r="P13"/>
  <c r="Q13" s="1"/>
  <c r="AE13"/>
  <c r="P14"/>
  <c r="Q14" s="1"/>
  <c r="AE14"/>
  <c r="AG14" s="1"/>
  <c r="AH14" s="1"/>
  <c r="P15"/>
  <c r="Q15" s="1"/>
  <c r="AE15"/>
  <c r="AG15" s="1"/>
  <c r="AH15" s="1"/>
  <c r="P16"/>
  <c r="Q16" s="1"/>
  <c r="AE16"/>
  <c r="AF16" s="1"/>
  <c r="AE17"/>
  <c r="AF17" s="1"/>
  <c r="P18"/>
  <c r="Q18" s="1"/>
  <c r="AE18"/>
  <c r="AG18" s="1"/>
  <c r="AH18" s="1"/>
  <c r="P19"/>
  <c r="Q19" s="1"/>
  <c r="AE19"/>
  <c r="AF19" s="1"/>
  <c r="P20"/>
  <c r="Q20" s="1"/>
  <c r="AE20"/>
  <c r="AG20" s="1"/>
  <c r="AH20" s="1"/>
  <c r="P21"/>
  <c r="Q21" s="1"/>
  <c r="AE21"/>
  <c r="AF21" s="1"/>
  <c r="AE22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/>
  <c r="P179"/>
  <c r="Q179" s="1"/>
  <c r="P180"/>
  <c r="Q180" s="1"/>
  <c r="P181"/>
  <c r="Q181" s="1"/>
  <c r="P182"/>
  <c r="Q182" s="1"/>
  <c r="P183"/>
  <c r="Q183" s="1"/>
  <c r="P184"/>
  <c r="Q184" s="1"/>
  <c r="P185"/>
  <c r="Q185" s="1"/>
  <c r="P3" i="1"/>
  <c r="AE3"/>
  <c r="P4"/>
  <c r="Q4" s="1"/>
  <c r="AE4"/>
  <c r="AG4" s="1"/>
  <c r="AH4" s="1"/>
  <c r="P5"/>
  <c r="Q5" s="1"/>
  <c r="AE5"/>
  <c r="AF5" s="1"/>
  <c r="P6"/>
  <c r="Q6" s="1"/>
  <c r="AE6"/>
  <c r="AG6" s="1"/>
  <c r="AH6" s="1"/>
  <c r="AE7"/>
  <c r="AG7" s="1"/>
  <c r="AH7" s="1"/>
  <c r="P8"/>
  <c r="Q8" s="1"/>
  <c r="AE8"/>
  <c r="AG8" s="1"/>
  <c r="AH8" s="1"/>
  <c r="P9"/>
  <c r="Q9" s="1"/>
  <c r="AE9"/>
  <c r="P10"/>
  <c r="Q10" s="1"/>
  <c r="AE10"/>
  <c r="AF10" s="1"/>
  <c r="P11"/>
  <c r="Q11" s="1"/>
  <c r="AE11"/>
  <c r="AF11" s="1"/>
  <c r="AE12"/>
  <c r="AF12" s="1"/>
  <c r="P13"/>
  <c r="Q13" s="1"/>
  <c r="AE13"/>
  <c r="AG13" s="1"/>
  <c r="AH13" s="1"/>
  <c r="P14"/>
  <c r="Q14" s="1"/>
  <c r="AE14"/>
  <c r="AG14" s="1"/>
  <c r="AH14" s="1"/>
  <c r="P15"/>
  <c r="Q15" s="1"/>
  <c r="AE15"/>
  <c r="P16"/>
  <c r="Q16" s="1"/>
  <c r="AE16"/>
  <c r="AF16" s="1"/>
  <c r="AE17"/>
  <c r="AG17" s="1"/>
  <c r="AH17" s="1"/>
  <c r="P18"/>
  <c r="Q18" s="1"/>
  <c r="AE18"/>
  <c r="AG18" s="1"/>
  <c r="AH18" s="1"/>
  <c r="P19"/>
  <c r="Q19" s="1"/>
  <c r="AE19"/>
  <c r="AG19" s="1"/>
  <c r="AH19" s="1"/>
  <c r="P20"/>
  <c r="Q20" s="1"/>
  <c r="AE20"/>
  <c r="AG20" s="1"/>
  <c r="AH20" s="1"/>
  <c r="P21"/>
  <c r="Q21" s="1"/>
  <c r="AE2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6"/>
  <c r="Q3" s="1"/>
  <c r="AE3"/>
  <c r="AF3" s="1"/>
  <c r="P4"/>
  <c r="Q4" s="1"/>
  <c r="AE4"/>
  <c r="P5"/>
  <c r="Q5" s="1"/>
  <c r="AE5"/>
  <c r="AG5" s="1"/>
  <c r="AH5" s="1"/>
  <c r="P6"/>
  <c r="Q6" s="1"/>
  <c r="AE6"/>
  <c r="AE7"/>
  <c r="AG7" s="1"/>
  <c r="AH7" s="1"/>
  <c r="P8"/>
  <c r="Q8" s="1"/>
  <c r="AE8"/>
  <c r="P9"/>
  <c r="Q9" s="1"/>
  <c r="AE9"/>
  <c r="P10"/>
  <c r="Q10" s="1"/>
  <c r="AE10"/>
  <c r="P11"/>
  <c r="Q11" s="1"/>
  <c r="AE11"/>
  <c r="AG11" s="1"/>
  <c r="AH11" s="1"/>
  <c r="AE12"/>
  <c r="AG12" s="1"/>
  <c r="AH12" s="1"/>
  <c r="P13"/>
  <c r="Q13" s="1"/>
  <c r="AE13"/>
  <c r="AG13" s="1"/>
  <c r="AH13" s="1"/>
  <c r="P14"/>
  <c r="Q14" s="1"/>
  <c r="AE14"/>
  <c r="P15"/>
  <c r="Q15" s="1"/>
  <c r="AE15"/>
  <c r="AG15" s="1"/>
  <c r="AH15" s="1"/>
  <c r="P16"/>
  <c r="Q16" s="1"/>
  <c r="AE16"/>
  <c r="AE17"/>
  <c r="AG17" s="1"/>
  <c r="AH17" s="1"/>
  <c r="P18"/>
  <c r="Q18" s="1"/>
  <c r="AE18"/>
  <c r="AG18" s="1"/>
  <c r="AH18" s="1"/>
  <c r="P19"/>
  <c r="Q19" s="1"/>
  <c r="AE19"/>
  <c r="AG19" s="1"/>
  <c r="AH19" s="1"/>
  <c r="P20"/>
  <c r="Q20" s="1"/>
  <c r="AE20"/>
  <c r="P21"/>
  <c r="Q21" s="1"/>
  <c r="AE21"/>
  <c r="AG21" s="1"/>
  <c r="AH21" s="1"/>
  <c r="AE22"/>
  <c r="AF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/>
  <c r="P159"/>
  <c r="Q159" s="1"/>
  <c r="P160"/>
  <c r="Q160" s="1"/>
  <c r="P161"/>
  <c r="Q16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B187"/>
  <c r="P3" i="33"/>
  <c r="Q3" s="1"/>
  <c r="AE3"/>
  <c r="AF3" s="1"/>
  <c r="AG3" s="1"/>
  <c r="AH3" s="1"/>
  <c r="P4"/>
  <c r="Q4" s="1"/>
  <c r="AE4"/>
  <c r="P5"/>
  <c r="Q5"/>
  <c r="AE5"/>
  <c r="AF5" s="1"/>
  <c r="P6"/>
  <c r="Q6" s="1"/>
  <c r="AE6"/>
  <c r="AE7"/>
  <c r="AF7" s="1"/>
  <c r="P8"/>
  <c r="Q8" s="1"/>
  <c r="AE8"/>
  <c r="AF8" s="1"/>
  <c r="P9"/>
  <c r="AE9"/>
  <c r="AG9" s="1"/>
  <c r="AH9" s="1"/>
  <c r="P10"/>
  <c r="Q10" s="1"/>
  <c r="AE10"/>
  <c r="AF10" s="1"/>
  <c r="P11"/>
  <c r="Q11" s="1"/>
  <c r="AE11"/>
  <c r="AG11" s="1"/>
  <c r="AH11" s="1"/>
  <c r="AE12"/>
  <c r="AF12" s="1"/>
  <c r="P13"/>
  <c r="Q13" s="1"/>
  <c r="AE13"/>
  <c r="P14"/>
  <c r="Q14" s="1"/>
  <c r="AE14"/>
  <c r="AG14" s="1"/>
  <c r="AH14" s="1"/>
  <c r="P15"/>
  <c r="Q15" s="1"/>
  <c r="AE15"/>
  <c r="AG15" s="1"/>
  <c r="AH15" s="1"/>
  <c r="P16"/>
  <c r="Q16" s="1"/>
  <c r="AE16"/>
  <c r="AF16" s="1"/>
  <c r="AE17"/>
  <c r="AG17" s="1"/>
  <c r="AH17" s="1"/>
  <c r="P18"/>
  <c r="Q18"/>
  <c r="AE18"/>
  <c r="AF18" s="1"/>
  <c r="P19"/>
  <c r="Q19" s="1"/>
  <c r="AE19"/>
  <c r="AG19" s="1"/>
  <c r="AH19" s="1"/>
  <c r="P20"/>
  <c r="Q20" s="1"/>
  <c r="AE20"/>
  <c r="AF20" s="1"/>
  <c r="P21"/>
  <c r="Q21" s="1"/>
  <c r="AE21"/>
  <c r="AF21" s="1"/>
  <c r="AE22"/>
  <c r="AG22" s="1"/>
  <c r="AH22" s="1"/>
  <c r="P23"/>
  <c r="Q23" s="1"/>
  <c r="P24"/>
  <c r="Q24" s="1"/>
  <c r="P25"/>
  <c r="Q25" s="1"/>
  <c r="P26"/>
  <c r="Q26" s="1"/>
  <c r="P28"/>
  <c r="Q28" s="1"/>
  <c r="P29"/>
  <c r="Q29" s="1"/>
  <c r="P30"/>
  <c r="Q30" s="1"/>
  <c r="P31"/>
  <c r="Q31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2"/>
  <c r="Q42" s="1"/>
  <c r="P43"/>
  <c r="Q43" s="1"/>
  <c r="P44"/>
  <c r="Q44" s="1"/>
  <c r="P45"/>
  <c r="Q45" s="1"/>
  <c r="P46"/>
  <c r="Q46" s="1"/>
  <c r="P47"/>
  <c r="Q47" s="1"/>
  <c r="P49"/>
  <c r="Q49" s="1"/>
  <c r="P50"/>
  <c r="Q50" s="1"/>
  <c r="P51"/>
  <c r="Q51" s="1"/>
  <c r="P52"/>
  <c r="Q52" s="1"/>
  <c r="P53"/>
  <c r="Q53" s="1"/>
  <c r="P54"/>
  <c r="Q54" s="1"/>
  <c r="P56"/>
  <c r="Q56" s="1"/>
  <c r="P57"/>
  <c r="Q57" s="1"/>
  <c r="P58"/>
  <c r="Q58" s="1"/>
  <c r="P59"/>
  <c r="Q59" s="1"/>
  <c r="P60"/>
  <c r="Q60" s="1"/>
  <c r="P61"/>
  <c r="Q61" s="1"/>
  <c r="P63"/>
  <c r="Q63" s="1"/>
  <c r="P64"/>
  <c r="Q64" s="1"/>
  <c r="P65"/>
  <c r="Q65" s="1"/>
  <c r="P66"/>
  <c r="Q66" s="1"/>
  <c r="P67"/>
  <c r="Q67" s="1"/>
  <c r="P68"/>
  <c r="Q68" s="1"/>
  <c r="P69"/>
  <c r="Q69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4"/>
  <c r="Q84" s="1"/>
  <c r="P85"/>
  <c r="Q85" s="1"/>
  <c r="P86"/>
  <c r="Q86" s="1"/>
  <c r="P87"/>
  <c r="Q87" s="1"/>
  <c r="P88"/>
  <c r="Q88" s="1"/>
  <c r="P89"/>
  <c r="Q89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9"/>
  <c r="Q139" s="1"/>
  <c r="P140"/>
  <c r="Q140" s="1"/>
  <c r="P141"/>
  <c r="Q141" s="1"/>
  <c r="P142"/>
  <c r="Q142" s="1"/>
  <c r="P143"/>
  <c r="Q143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AF4" i="7"/>
  <c r="AG4" s="1"/>
  <c r="AH4" s="1"/>
  <c r="AF22"/>
  <c r="AF3"/>
  <c r="AG3" s="1"/>
  <c r="AH3" s="1"/>
  <c r="AG6" i="20" l="1"/>
  <c r="AH6" s="1"/>
  <c r="AG5" i="5"/>
  <c r="AH5" s="1"/>
  <c r="AG19" i="7"/>
  <c r="AH19" s="1"/>
  <c r="AF10"/>
  <c r="AF21" i="21"/>
  <c r="AG8" i="18"/>
  <c r="AH8" s="1"/>
  <c r="AF17" i="20"/>
  <c r="AG6" i="25"/>
  <c r="AH6" s="1"/>
  <c r="AG16" i="7"/>
  <c r="AH16" s="1"/>
  <c r="AG14" i="22"/>
  <c r="AH14" s="1"/>
  <c r="AG14" i="24"/>
  <c r="AH14" s="1"/>
  <c r="AG4" i="26"/>
  <c r="AH4" s="1"/>
  <c r="AF22" i="12"/>
  <c r="AF9" i="21"/>
  <c r="AG10"/>
  <c r="AH10" s="1"/>
  <c r="AF22" i="4"/>
  <c r="AG5" i="18"/>
  <c r="AH5" s="1"/>
  <c r="AF18"/>
  <c r="AF18" i="20"/>
  <c r="AG11"/>
  <c r="AH11" s="1"/>
  <c r="AG20"/>
  <c r="AH20" s="1"/>
  <c r="AG16"/>
  <c r="AH16" s="1"/>
  <c r="AG13" i="28"/>
  <c r="AH13" s="1"/>
  <c r="AG16"/>
  <c r="AH16" s="1"/>
  <c r="AG19" i="25"/>
  <c r="AH19" s="1"/>
  <c r="AF20" i="10"/>
  <c r="AG14"/>
  <c r="AH14" s="1"/>
  <c r="AG17"/>
  <c r="AH17" s="1"/>
  <c r="AF16"/>
  <c r="AG10"/>
  <c r="AH10" s="1"/>
  <c r="AG17" i="7"/>
  <c r="AH17" s="1"/>
  <c r="AF8" i="3"/>
  <c r="AF11"/>
  <c r="AF12"/>
  <c r="AG4" i="23"/>
  <c r="AH4" s="1"/>
  <c r="AF11" i="24"/>
  <c r="AF10"/>
  <c r="AF18" i="26"/>
  <c r="AF10"/>
  <c r="AF8"/>
  <c r="E190" i="12"/>
  <c r="AF3"/>
  <c r="AF14"/>
  <c r="AG21"/>
  <c r="AH21" s="1"/>
  <c r="AF7" i="21"/>
  <c r="AF21" i="2"/>
  <c r="AG20"/>
  <c r="AH20" s="1"/>
  <c r="AG18" i="4"/>
  <c r="AH18" s="1"/>
  <c r="AG9" i="18"/>
  <c r="AH9" s="1"/>
  <c r="AG21"/>
  <c r="AH21" s="1"/>
  <c r="AF15"/>
  <c r="E191" i="20"/>
  <c r="AF22"/>
  <c r="AG8"/>
  <c r="AH8" s="1"/>
  <c r="AF10" i="28"/>
  <c r="E190"/>
  <c r="AF17"/>
  <c r="AF12"/>
  <c r="AF22" i="25"/>
  <c r="AG21"/>
  <c r="AH21" s="1"/>
  <c r="AF14"/>
  <c r="AF22" i="29"/>
  <c r="AF21"/>
  <c r="AG15"/>
  <c r="AH15" s="1"/>
  <c r="AG12"/>
  <c r="AH12" s="1"/>
  <c r="AG9"/>
  <c r="AH9" s="1"/>
  <c r="AF18"/>
  <c r="AG19"/>
  <c r="AH19" s="1"/>
  <c r="AG3" i="10"/>
  <c r="AH3" s="1"/>
  <c r="AF4"/>
  <c r="AG21" i="33"/>
  <c r="AH21" s="1"/>
  <c r="AF17"/>
  <c r="AG16"/>
  <c r="AH16" s="1"/>
  <c r="AF22"/>
  <c r="AG20"/>
  <c r="AH20" s="1"/>
  <c r="AG18"/>
  <c r="AH18" s="1"/>
  <c r="AE23"/>
  <c r="AF20" i="7"/>
  <c r="AF18"/>
  <c r="E191"/>
  <c r="E190"/>
  <c r="AF13"/>
  <c r="AF21"/>
  <c r="AF18" i="3"/>
  <c r="AG19"/>
  <c r="AH19" s="1"/>
  <c r="AG11" i="23"/>
  <c r="AH11" s="1"/>
  <c r="AF7"/>
  <c r="AG20"/>
  <c r="AH20" s="1"/>
  <c r="AF7" i="22"/>
  <c r="AF6"/>
  <c r="AF22"/>
  <c r="AF19"/>
  <c r="AF18"/>
  <c r="AF22" i="24"/>
  <c r="AF20"/>
  <c r="AF5"/>
  <c r="AF4"/>
  <c r="AF16"/>
  <c r="AF6"/>
  <c r="AF8"/>
  <c r="AG15"/>
  <c r="AH15" s="1"/>
  <c r="AG9"/>
  <c r="AH9" s="1"/>
  <c r="AF12" i="26"/>
  <c r="AG5"/>
  <c r="AH5" s="1"/>
  <c r="AG11"/>
  <c r="AH11" s="1"/>
  <c r="AG17"/>
  <c r="AH17" s="1"/>
  <c r="AG16"/>
  <c r="AH16" s="1"/>
  <c r="AF14"/>
  <c r="AF20"/>
  <c r="AG13"/>
  <c r="AH13" s="1"/>
  <c r="AF12" i="12"/>
  <c r="AF11"/>
  <c r="AF10"/>
  <c r="AG13"/>
  <c r="AH13" s="1"/>
  <c r="AF5"/>
  <c r="AF4"/>
  <c r="AF18"/>
  <c r="AG15"/>
  <c r="AH15" s="1"/>
  <c r="AG7"/>
  <c r="AH7" s="1"/>
  <c r="AF6"/>
  <c r="AF20"/>
  <c r="AF16"/>
  <c r="AF8"/>
  <c r="AF17" i="21"/>
  <c r="AG16"/>
  <c r="AH16" s="1"/>
  <c r="AF19"/>
  <c r="AF3"/>
  <c r="AG12"/>
  <c r="AH12" s="1"/>
  <c r="AF13"/>
  <c r="AF6"/>
  <c r="AG4"/>
  <c r="AH4" s="1"/>
  <c r="AF15"/>
  <c r="AF11"/>
  <c r="E192" i="2"/>
  <c r="AF14"/>
  <c r="AF13"/>
  <c r="AF9"/>
  <c r="AF17"/>
  <c r="AF15"/>
  <c r="AG22"/>
  <c r="AH22" s="1"/>
  <c r="AF19"/>
  <c r="AF20" i="4"/>
  <c r="AF4"/>
  <c r="AF10"/>
  <c r="AG5"/>
  <c r="AH5" s="1"/>
  <c r="AF12"/>
  <c r="AF6"/>
  <c r="AF17"/>
  <c r="AF16"/>
  <c r="AG11"/>
  <c r="AH11" s="1"/>
  <c r="AG14" i="18"/>
  <c r="AH14" s="1"/>
  <c r="AF16"/>
  <c r="AF10"/>
  <c r="AG20"/>
  <c r="AH20" s="1"/>
  <c r="AF11"/>
  <c r="AF3"/>
  <c r="AF12"/>
  <c r="AF4"/>
  <c r="AF5" i="20"/>
  <c r="AG9"/>
  <c r="AH9" s="1"/>
  <c r="AG14"/>
  <c r="AH14" s="1"/>
  <c r="AG3"/>
  <c r="AH3" s="1"/>
  <c r="AG10"/>
  <c r="AH10" s="1"/>
  <c r="AG15"/>
  <c r="AH15" s="1"/>
  <c r="AG4"/>
  <c r="AH4" s="1"/>
  <c r="AF22" i="28"/>
  <c r="AF18"/>
  <c r="AF21"/>
  <c r="E192"/>
  <c r="AG9"/>
  <c r="AH9" s="1"/>
  <c r="AF4"/>
  <c r="AF3"/>
  <c r="F187"/>
  <c r="AF20" i="25"/>
  <c r="AF13"/>
  <c r="AF10"/>
  <c r="AF3"/>
  <c r="AF4"/>
  <c r="AG15"/>
  <c r="AH15" s="1"/>
  <c r="AF8"/>
  <c r="AG18"/>
  <c r="AH18" s="1"/>
  <c r="AF9"/>
  <c r="AG12"/>
  <c r="AH12" s="1"/>
  <c r="AF10" i="29"/>
  <c r="AF14"/>
  <c r="AF16"/>
  <c r="AE23"/>
  <c r="E192"/>
  <c r="AF3"/>
  <c r="AF8"/>
  <c r="AF4"/>
  <c r="AF8" i="10"/>
  <c r="AF21"/>
  <c r="AF15"/>
  <c r="AG19"/>
  <c r="AH19" s="1"/>
  <c r="AG12"/>
  <c r="AH12" s="1"/>
  <c r="AF11"/>
  <c r="AG7"/>
  <c r="AH7" s="1"/>
  <c r="AG13"/>
  <c r="AH13" s="1"/>
  <c r="AG6" i="33"/>
  <c r="AH6" s="1"/>
  <c r="AG4"/>
  <c r="AH4" s="1"/>
  <c r="AF4"/>
  <c r="AF9"/>
  <c r="AF6"/>
  <c r="AF14"/>
  <c r="AG12"/>
  <c r="AH12" s="1"/>
  <c r="AF11"/>
  <c r="AF15"/>
  <c r="AF15" i="7"/>
  <c r="E193"/>
  <c r="F187"/>
  <c r="AF12"/>
  <c r="AF14"/>
  <c r="AG22" i="3"/>
  <c r="AH22" s="1"/>
  <c r="AG20"/>
  <c r="AH20" s="1"/>
  <c r="AF21"/>
  <c r="AF9"/>
  <c r="AF4"/>
  <c r="AF13"/>
  <c r="AF7"/>
  <c r="AG5"/>
  <c r="AH5" s="1"/>
  <c r="AF15"/>
  <c r="AF14"/>
  <c r="AG6"/>
  <c r="AH6" s="1"/>
  <c r="AF18" i="23"/>
  <c r="AG8"/>
  <c r="AH8" s="1"/>
  <c r="AG5"/>
  <c r="AH5" s="1"/>
  <c r="AF19"/>
  <c r="AF10"/>
  <c r="AF9"/>
  <c r="AF13"/>
  <c r="AE23"/>
  <c r="AF16"/>
  <c r="AF21"/>
  <c r="AG17"/>
  <c r="AH17" s="1"/>
  <c r="AF14"/>
  <c r="AF3"/>
  <c r="AF13" i="22"/>
  <c r="AF12"/>
  <c r="AG8"/>
  <c r="AH8" s="1"/>
  <c r="AF10"/>
  <c r="AF21" i="5"/>
  <c r="AF10" i="17"/>
  <c r="AF12"/>
  <c r="AF18"/>
  <c r="AG4"/>
  <c r="AH4" s="1"/>
  <c r="AG17"/>
  <c r="AH17" s="1"/>
  <c r="AG16"/>
  <c r="AH16" s="1"/>
  <c r="AF3"/>
  <c r="F187"/>
  <c r="AF6"/>
  <c r="AE23"/>
  <c r="AF8"/>
  <c r="AF22"/>
  <c r="AG11"/>
  <c r="AH11" s="1"/>
  <c r="AG20" i="5"/>
  <c r="AH20" s="1"/>
  <c r="AG16"/>
  <c r="AH16" s="1"/>
  <c r="AE23"/>
  <c r="AF10"/>
  <c r="AF9"/>
  <c r="AF3"/>
  <c r="AG8"/>
  <c r="AH8" s="1"/>
  <c r="AF11"/>
  <c r="AF6"/>
  <c r="AF13"/>
  <c r="AF19"/>
  <c r="AG14"/>
  <c r="AH14" s="1"/>
  <c r="AF15"/>
  <c r="AG11" i="32"/>
  <c r="AH11" s="1"/>
  <c r="AF22"/>
  <c r="AG7"/>
  <c r="AH7" s="1"/>
  <c r="AF4"/>
  <c r="AG19"/>
  <c r="AH19" s="1"/>
  <c r="AG14"/>
  <c r="AH14" s="1"/>
  <c r="AG5"/>
  <c r="AH5" s="1"/>
  <c r="E190"/>
  <c r="AF18"/>
  <c r="AG17"/>
  <c r="AH17" s="1"/>
  <c r="AF16"/>
  <c r="AG20"/>
  <c r="AH20" s="1"/>
  <c r="AF10"/>
  <c r="AF9"/>
  <c r="E191"/>
  <c r="AF13"/>
  <c r="AF12"/>
  <c r="AE23"/>
  <c r="AF6" i="30"/>
  <c r="E190"/>
  <c r="F187"/>
  <c r="AF3"/>
  <c r="AG3" s="1"/>
  <c r="AH3" s="1"/>
  <c r="E189"/>
  <c r="E192"/>
  <c r="E193"/>
  <c r="AF19"/>
  <c r="AF18"/>
  <c r="AF13"/>
  <c r="AF12"/>
  <c r="AG7"/>
  <c r="AH7" s="1"/>
  <c r="AF4"/>
  <c r="AF22"/>
  <c r="AF14"/>
  <c r="AF10"/>
  <c r="AF8"/>
  <c r="AF20"/>
  <c r="AF18" i="6"/>
  <c r="AF17"/>
  <c r="AF12"/>
  <c r="AF11"/>
  <c r="AG3"/>
  <c r="AH3" s="1"/>
  <c r="AF19"/>
  <c r="AF13"/>
  <c r="AF6"/>
  <c r="AG6" s="1"/>
  <c r="AH6" s="1"/>
  <c r="AF5"/>
  <c r="AG14" i="31"/>
  <c r="AH14" s="1"/>
  <c r="AF19"/>
  <c r="AF5"/>
  <c r="AF11" i="19"/>
  <c r="AF17" i="16"/>
  <c r="AG9" i="11"/>
  <c r="AH9" s="1"/>
  <c r="AG15"/>
  <c r="AH15" s="1"/>
  <c r="AG6"/>
  <c r="AH6" s="1"/>
  <c r="AF8" i="16"/>
  <c r="AG8" s="1"/>
  <c r="AH8" s="1"/>
  <c r="AF3" i="31"/>
  <c r="AF7"/>
  <c r="AG20"/>
  <c r="AH20" s="1"/>
  <c r="AF10"/>
  <c r="AG6"/>
  <c r="AH6" s="1"/>
  <c r="AF18"/>
  <c r="AF13"/>
  <c r="AF11"/>
  <c r="AF7" i="9"/>
  <c r="AF4"/>
  <c r="AF8"/>
  <c r="AF5"/>
  <c r="AF10"/>
  <c r="AF12"/>
  <c r="AF22"/>
  <c r="AF17"/>
  <c r="AF16"/>
  <c r="AG5" i="27"/>
  <c r="AH5" s="1"/>
  <c r="AF15"/>
  <c r="E191"/>
  <c r="AF4"/>
  <c r="AF18"/>
  <c r="AG17"/>
  <c r="AH17" s="1"/>
  <c r="AG16"/>
  <c r="AH16" s="1"/>
  <c r="AG19"/>
  <c r="AH19" s="1"/>
  <c r="AG7"/>
  <c r="AH7" s="1"/>
  <c r="AF10"/>
  <c r="AF8"/>
  <c r="AF6"/>
  <c r="AG21"/>
  <c r="AH21" s="1"/>
  <c r="AF20"/>
  <c r="AF12"/>
  <c r="AG10" i="1"/>
  <c r="AH10" s="1"/>
  <c r="AG5"/>
  <c r="AH5" s="1"/>
  <c r="AF18"/>
  <c r="AF20"/>
  <c r="AG12"/>
  <c r="AH12" s="1"/>
  <c r="AF14"/>
  <c r="AF8"/>
  <c r="AF6"/>
  <c r="AF17"/>
  <c r="AG16"/>
  <c r="AH16" s="1"/>
  <c r="AF4"/>
  <c r="AF22"/>
  <c r="AF19" i="19"/>
  <c r="AG14"/>
  <c r="AH14" s="1"/>
  <c r="E190"/>
  <c r="AF13"/>
  <c r="AF3"/>
  <c r="AG3" s="1"/>
  <c r="AH3" s="1"/>
  <c r="AF16"/>
  <c r="AF15"/>
  <c r="AF7"/>
  <c r="AF4"/>
  <c r="AF21"/>
  <c r="AF10"/>
  <c r="AF9"/>
  <c r="AG22" i="11"/>
  <c r="AH22" s="1"/>
  <c r="AF5"/>
  <c r="AF6" i="16"/>
  <c r="AG6" s="1"/>
  <c r="AH6" s="1"/>
  <c r="AG5"/>
  <c r="AH5" s="1"/>
  <c r="AF21" i="11"/>
  <c r="AG17"/>
  <c r="AH17" s="1"/>
  <c r="AF10"/>
  <c r="E188"/>
  <c r="AG3"/>
  <c r="AH3" s="1"/>
  <c r="AF14"/>
  <c r="AG4"/>
  <c r="AH4" s="1"/>
  <c r="E188" i="15"/>
  <c r="E193"/>
  <c r="E189"/>
  <c r="AF14" i="16"/>
  <c r="AG12"/>
  <c r="AH12" s="1"/>
  <c r="AG16"/>
  <c r="AH16" s="1"/>
  <c r="AF15"/>
  <c r="AF20"/>
  <c r="AG18"/>
  <c r="AH18" s="1"/>
  <c r="AF21"/>
  <c r="AG3"/>
  <c r="AH3" s="1"/>
  <c r="AF11"/>
  <c r="AG10"/>
  <c r="AH10" s="1"/>
  <c r="AF9"/>
  <c r="AG9" s="1"/>
  <c r="AH9" s="1"/>
  <c r="AE23" i="15"/>
  <c r="AH3"/>
  <c r="E189" i="17"/>
  <c r="E188"/>
  <c r="AF10" i="6"/>
  <c r="AG10"/>
  <c r="AH10" s="1"/>
  <c r="E190" i="17"/>
  <c r="E191"/>
  <c r="E188" i="16"/>
  <c r="E189" i="26"/>
  <c r="E188"/>
  <c r="AG9"/>
  <c r="AH9" s="1"/>
  <c r="AF9"/>
  <c r="AF18" i="10"/>
  <c r="AG18"/>
  <c r="AH18" s="1"/>
  <c r="E193" i="17"/>
  <c r="F187" i="16"/>
  <c r="P187" i="33"/>
  <c r="Q9"/>
  <c r="AF9" i="6"/>
  <c r="AG9" s="1"/>
  <c r="AH9" s="1"/>
  <c r="AG9" i="27"/>
  <c r="AH9" s="1"/>
  <c r="AF9"/>
  <c r="E191" i="21"/>
  <c r="E190"/>
  <c r="AF19" i="26"/>
  <c r="AG19"/>
  <c r="AH19" s="1"/>
  <c r="E191" i="33"/>
  <c r="E190" i="6"/>
  <c r="E191"/>
  <c r="E193" i="26"/>
  <c r="E190"/>
  <c r="F187"/>
  <c r="E193" i="2"/>
  <c r="F187" i="5"/>
  <c r="E191"/>
  <c r="E192"/>
  <c r="E189" i="33"/>
  <c r="E188"/>
  <c r="E190" i="1"/>
  <c r="E193" i="33"/>
  <c r="E192"/>
  <c r="E190" i="2"/>
  <c r="E191"/>
  <c r="E192" i="31"/>
  <c r="AF8"/>
  <c r="AG8"/>
  <c r="AH8" s="1"/>
  <c r="Q3" i="27"/>
  <c r="P187"/>
  <c r="AG20" i="21"/>
  <c r="AH20" s="1"/>
  <c r="AF20"/>
  <c r="E189"/>
  <c r="E188" i="19"/>
  <c r="F187" i="32"/>
  <c r="AG17" i="31"/>
  <c r="AH17" s="1"/>
  <c r="AF17"/>
  <c r="AF7" i="28"/>
  <c r="AG7"/>
  <c r="AH7" s="1"/>
  <c r="Q75" i="3"/>
  <c r="P187"/>
  <c r="E188" i="7"/>
  <c r="E189"/>
  <c r="E188" i="1"/>
  <c r="E189" i="28"/>
  <c r="E193" i="4"/>
  <c r="E192" i="32"/>
  <c r="E193" i="3"/>
  <c r="E189" i="20"/>
  <c r="AF11" i="27"/>
  <c r="AG11"/>
  <c r="AH11" s="1"/>
  <c r="AF7" i="26"/>
  <c r="AG7"/>
  <c r="AH7" s="1"/>
  <c r="AF20" i="19"/>
  <c r="AG20"/>
  <c r="AH20" s="1"/>
  <c r="AG12" i="24"/>
  <c r="AH12" s="1"/>
  <c r="AF12"/>
  <c r="AG8" i="33"/>
  <c r="AH8" s="1"/>
  <c r="E189" i="6"/>
  <c r="E192" i="18"/>
  <c r="F187" i="25"/>
  <c r="AG9" i="1"/>
  <c r="AH9" s="1"/>
  <c r="AF9"/>
  <c r="AG6" i="26"/>
  <c r="AH6" s="1"/>
  <c r="AF6"/>
  <c r="Q3" i="19"/>
  <c r="P187"/>
  <c r="AG19" i="24"/>
  <c r="AH19" s="1"/>
  <c r="AF19"/>
  <c r="E192" i="6"/>
  <c r="E191" i="31"/>
  <c r="AF16" i="6"/>
  <c r="AG16"/>
  <c r="AH16" s="1"/>
  <c r="AF16" i="31"/>
  <c r="AG16"/>
  <c r="AH16" s="1"/>
  <c r="AG18" i="24"/>
  <c r="AH18" s="1"/>
  <c r="AF18"/>
  <c r="AG11" i="7"/>
  <c r="AH11" s="1"/>
  <c r="AF11"/>
  <c r="E188" i="21"/>
  <c r="AG13" i="33"/>
  <c r="AH13" s="1"/>
  <c r="AF13"/>
  <c r="AG15" i="31"/>
  <c r="AH15" s="1"/>
  <c r="AF15"/>
  <c r="AG4"/>
  <c r="AH4" s="1"/>
  <c r="AF4"/>
  <c r="AE23"/>
  <c r="E189"/>
  <c r="E188"/>
  <c r="E189" i="2"/>
  <c r="E188"/>
  <c r="AG11"/>
  <c r="AH11" s="1"/>
  <c r="AF11"/>
  <c r="AG17" i="5"/>
  <c r="AH17" s="1"/>
  <c r="AF17"/>
  <c r="E190" i="4"/>
  <c r="E191"/>
  <c r="AF17" i="3"/>
  <c r="AG17"/>
  <c r="AH17" s="1"/>
  <c r="AF15" i="6"/>
  <c r="E192" i="27"/>
  <c r="E191" i="26"/>
  <c r="E193" i="5"/>
  <c r="E192" i="7"/>
  <c r="E193" i="20"/>
  <c r="Q3" i="1"/>
  <c r="P187"/>
  <c r="AG22" i="27"/>
  <c r="AH22" s="1"/>
  <c r="AF22"/>
  <c r="Q21" i="28"/>
  <c r="P187"/>
  <c r="AG16" i="25"/>
  <c r="AH16" s="1"/>
  <c r="AE23"/>
  <c r="E190" i="33"/>
  <c r="F187" i="6"/>
  <c r="F187" i="27"/>
  <c r="AG15" i="28"/>
  <c r="AH15" s="1"/>
  <c r="AF14"/>
  <c r="E188"/>
  <c r="E191"/>
  <c r="F187" i="2"/>
  <c r="F187" i="18"/>
  <c r="E193" i="1"/>
  <c r="E192"/>
  <c r="AF5" i="19"/>
  <c r="AG5"/>
  <c r="AH5" s="1"/>
  <c r="AE23"/>
  <c r="AF17" i="22"/>
  <c r="AG17"/>
  <c r="AH17" s="1"/>
  <c r="AG11"/>
  <c r="AH11" s="1"/>
  <c r="AF11"/>
  <c r="AG14" i="4"/>
  <c r="AH14" s="1"/>
  <c r="AF14"/>
  <c r="AE23" i="24"/>
  <c r="AF3"/>
  <c r="AG3"/>
  <c r="AH3" s="1"/>
  <c r="AG16" i="3"/>
  <c r="AH16" s="1"/>
  <c r="AF16"/>
  <c r="P187" i="11"/>
  <c r="Q8"/>
  <c r="E188" i="6"/>
  <c r="E193" i="27"/>
  <c r="F187" i="4"/>
  <c r="AG20" i="6"/>
  <c r="AH20" s="1"/>
  <c r="AF20"/>
  <c r="AE23"/>
  <c r="AF4"/>
  <c r="AG4" s="1"/>
  <c r="AH4" s="1"/>
  <c r="AE23" i="1"/>
  <c r="AF3"/>
  <c r="AG3" s="1"/>
  <c r="AH3" s="1"/>
  <c r="AF13" i="27"/>
  <c r="AG13"/>
  <c r="AH13" s="1"/>
  <c r="AF3"/>
  <c r="AE23"/>
  <c r="AF19" i="28"/>
  <c r="AG19"/>
  <c r="AH19" s="1"/>
  <c r="AF5"/>
  <c r="AE23"/>
  <c r="AG5"/>
  <c r="AH5" s="1"/>
  <c r="AG8" i="21"/>
  <c r="AH8" s="1"/>
  <c r="AF8"/>
  <c r="AG5"/>
  <c r="AH5" s="1"/>
  <c r="AF5"/>
  <c r="AE23"/>
  <c r="AG12" i="19"/>
  <c r="AH12" s="1"/>
  <c r="AF12"/>
  <c r="AG16" i="22"/>
  <c r="AH16" s="1"/>
  <c r="AF16"/>
  <c r="E188" i="4"/>
  <c r="E189"/>
  <c r="E191" i="3"/>
  <c r="E190"/>
  <c r="E191" i="1"/>
  <c r="P187" i="2"/>
  <c r="E193" i="19"/>
  <c r="E190" i="5"/>
  <c r="E192" i="4"/>
  <c r="AF22" i="31"/>
  <c r="AG22"/>
  <c r="AH22" s="1"/>
  <c r="AG20" i="28"/>
  <c r="AH20" s="1"/>
  <c r="AF20"/>
  <c r="AG6"/>
  <c r="AH6" s="1"/>
  <c r="AF6"/>
  <c r="AG22" i="21"/>
  <c r="AH22" s="1"/>
  <c r="AF22"/>
  <c r="E193"/>
  <c r="E192"/>
  <c r="AG5" i="22"/>
  <c r="AH5" s="1"/>
  <c r="AF5"/>
  <c r="AG4"/>
  <c r="AH4" s="1"/>
  <c r="AE23"/>
  <c r="P187" i="4"/>
  <c r="Q9"/>
  <c r="E189" i="32"/>
  <c r="E188"/>
  <c r="AG10" i="3"/>
  <c r="AH10" s="1"/>
  <c r="AF10"/>
  <c r="AF19" i="33"/>
  <c r="P187" i="6"/>
  <c r="AG11" i="1"/>
  <c r="AH11" s="1"/>
  <c r="AG3" i="27"/>
  <c r="AH3" s="1"/>
  <c r="F187" i="31"/>
  <c r="E190"/>
  <c r="F187" i="21"/>
  <c r="AG18" i="2"/>
  <c r="AH18" s="1"/>
  <c r="Q3"/>
  <c r="P187" i="22"/>
  <c r="E191" i="10"/>
  <c r="AG21" i="1"/>
  <c r="AH21" s="1"/>
  <c r="AF21"/>
  <c r="E189" i="27"/>
  <c r="E188"/>
  <c r="AG21" i="31"/>
  <c r="AH21" s="1"/>
  <c r="AF21"/>
  <c r="P187"/>
  <c r="Q5"/>
  <c r="AF11" i="28"/>
  <c r="AG11"/>
  <c r="AH11" s="1"/>
  <c r="AE23" i="26"/>
  <c r="AG3"/>
  <c r="AH3" s="1"/>
  <c r="AF3"/>
  <c r="AF4" i="2"/>
  <c r="AG4" s="1"/>
  <c r="AH4" s="1"/>
  <c r="AE23"/>
  <c r="E188" i="22"/>
  <c r="E189"/>
  <c r="AG21" i="4"/>
  <c r="AH21" s="1"/>
  <c r="AF21"/>
  <c r="E191" i="24"/>
  <c r="E190"/>
  <c r="AE23" i="18"/>
  <c r="AG6"/>
  <c r="AH6" s="1"/>
  <c r="AF6"/>
  <c r="E188" i="12"/>
  <c r="E189"/>
  <c r="AG10" i="33"/>
  <c r="AH10" s="1"/>
  <c r="AG5"/>
  <c r="AH5" s="1"/>
  <c r="F187"/>
  <c r="AG22" i="6"/>
  <c r="AH22" s="1"/>
  <c r="AF21"/>
  <c r="AF7"/>
  <c r="E193"/>
  <c r="F187" i="1"/>
  <c r="E189"/>
  <c r="E190" i="27"/>
  <c r="AG12" i="31"/>
  <c r="AH12" s="1"/>
  <c r="E193" i="28"/>
  <c r="E192" i="3"/>
  <c r="F187" i="12"/>
  <c r="E191"/>
  <c r="AG14" i="6"/>
  <c r="AH14" s="1"/>
  <c r="AF14"/>
  <c r="AF8"/>
  <c r="AG8" s="1"/>
  <c r="AH8" s="1"/>
  <c r="AG15" i="1"/>
  <c r="AH15" s="1"/>
  <c r="AF15"/>
  <c r="AF12" i="2"/>
  <c r="AG12"/>
  <c r="AH12" s="1"/>
  <c r="AG10"/>
  <c r="AH10" s="1"/>
  <c r="AF10"/>
  <c r="AG7" i="5"/>
  <c r="AH7" s="1"/>
  <c r="AF7"/>
  <c r="AG4"/>
  <c r="AH4" s="1"/>
  <c r="AF4"/>
  <c r="E188"/>
  <c r="E189"/>
  <c r="AG8" i="4"/>
  <c r="AH8" s="1"/>
  <c r="AF8"/>
  <c r="AF8" i="32"/>
  <c r="AG8"/>
  <c r="AH8" s="1"/>
  <c r="E192" i="24"/>
  <c r="E193"/>
  <c r="P187" i="12"/>
  <c r="Q6"/>
  <c r="P187" i="30"/>
  <c r="Q60"/>
  <c r="AG7" i="33"/>
  <c r="AH7" s="1"/>
  <c r="E192" i="26"/>
  <c r="F187" i="22"/>
  <c r="E192" i="23"/>
  <c r="E191" i="30"/>
  <c r="Q3" i="26"/>
  <c r="P187"/>
  <c r="P187" i="5"/>
  <c r="Q4"/>
  <c r="AG15" i="4"/>
  <c r="AH15" s="1"/>
  <c r="AF15"/>
  <c r="AG19" i="20"/>
  <c r="AH19" s="1"/>
  <c r="AF19"/>
  <c r="AG6" i="10"/>
  <c r="AH6" s="1"/>
  <c r="AF6"/>
  <c r="E189"/>
  <c r="E188"/>
  <c r="P187" i="21"/>
  <c r="F187" i="19"/>
  <c r="E191" i="18"/>
  <c r="E191" i="22"/>
  <c r="E190"/>
  <c r="AG18" i="5"/>
  <c r="AH18" s="1"/>
  <c r="AF18"/>
  <c r="AG9" i="4"/>
  <c r="AH9" s="1"/>
  <c r="AF9"/>
  <c r="AE23"/>
  <c r="AF3"/>
  <c r="AG13" i="24"/>
  <c r="AH13" s="1"/>
  <c r="AF13"/>
  <c r="AF6" i="7"/>
  <c r="AG6" s="1"/>
  <c r="AH6" s="1"/>
  <c r="AF21" i="20"/>
  <c r="AG21"/>
  <c r="AH21" s="1"/>
  <c r="P187" i="10"/>
  <c r="Q3"/>
  <c r="AG19" i="18"/>
  <c r="AH19" s="1"/>
  <c r="AF19"/>
  <c r="Q5" i="25"/>
  <c r="P187"/>
  <c r="AG7" i="2"/>
  <c r="AH7" s="1"/>
  <c r="AG5"/>
  <c r="AH5" s="1"/>
  <c r="E193" i="32"/>
  <c r="P187" i="24"/>
  <c r="AE23" i="7"/>
  <c r="E188" i="25"/>
  <c r="E189" i="11"/>
  <c r="E191" i="23"/>
  <c r="P187" i="32"/>
  <c r="Q3"/>
  <c r="E189" i="3"/>
  <c r="E188"/>
  <c r="AG12" i="20"/>
  <c r="AH12" s="1"/>
  <c r="AF12"/>
  <c r="AF15" i="26"/>
  <c r="E192" i="19"/>
  <c r="E193" i="22"/>
  <c r="AG21" i="24"/>
  <c r="AH21" s="1"/>
  <c r="E188"/>
  <c r="F187"/>
  <c r="F187" i="20"/>
  <c r="E192" i="17"/>
  <c r="AG16" i="2"/>
  <c r="AH16" s="1"/>
  <c r="AF16"/>
  <c r="AG18" i="19"/>
  <c r="AH18" s="1"/>
  <c r="AF18"/>
  <c r="AG3" i="32"/>
  <c r="AH3" s="1"/>
  <c r="AF3"/>
  <c r="Q13" i="7"/>
  <c r="P187"/>
  <c r="AG22" i="18"/>
  <c r="AH22" s="1"/>
  <c r="AF22"/>
  <c r="AG19" i="11"/>
  <c r="AH19" s="1"/>
  <c r="AE23"/>
  <c r="AG23" s="1"/>
  <c r="AF19"/>
  <c r="Q6" i="9"/>
  <c r="P187"/>
  <c r="AF19" i="1"/>
  <c r="AF13"/>
  <c r="AF7"/>
  <c r="AF14" i="27"/>
  <c r="AF9" i="31"/>
  <c r="AF8" i="28"/>
  <c r="AG18" i="21"/>
  <c r="AH18" s="1"/>
  <c r="AF14"/>
  <c r="AF22" i="26"/>
  <c r="AF21"/>
  <c r="AG6" i="2"/>
  <c r="AH6" s="1"/>
  <c r="AF17" i="19"/>
  <c r="AG8"/>
  <c r="AH8" s="1"/>
  <c r="E189"/>
  <c r="E189" i="24"/>
  <c r="F187" i="3"/>
  <c r="AG12" i="5"/>
  <c r="AH12" s="1"/>
  <c r="AF12"/>
  <c r="AG7" i="24"/>
  <c r="AH7" s="1"/>
  <c r="AF7"/>
  <c r="AG13" i="18"/>
  <c r="AH13" s="1"/>
  <c r="AF13"/>
  <c r="E193" i="31"/>
  <c r="E191" i="19"/>
  <c r="E190" i="18"/>
  <c r="E192" i="16"/>
  <c r="AG13" i="20"/>
  <c r="AH13" s="1"/>
  <c r="AF13"/>
  <c r="AG7" i="18"/>
  <c r="AH7" s="1"/>
  <c r="AF7"/>
  <c r="E193" i="25"/>
  <c r="E192"/>
  <c r="E193" i="11"/>
  <c r="E192"/>
  <c r="AF5" i="17"/>
  <c r="AG5"/>
  <c r="AH5" s="1"/>
  <c r="P187" i="20"/>
  <c r="E190"/>
  <c r="F187" i="10"/>
  <c r="E193" i="18"/>
  <c r="F187" i="11"/>
  <c r="AG7" i="20"/>
  <c r="AH7" s="1"/>
  <c r="AF7"/>
  <c r="E189" i="23"/>
  <c r="E188"/>
  <c r="E189" i="9"/>
  <c r="E188"/>
  <c r="E190" i="11"/>
  <c r="AG22" i="10"/>
  <c r="AH22" s="1"/>
  <c r="AF22"/>
  <c r="AF17" i="30"/>
  <c r="AG17"/>
  <c r="AH17" s="1"/>
  <c r="P187" i="18"/>
  <c r="E189" i="25"/>
  <c r="AF7" i="11"/>
  <c r="E190" i="23"/>
  <c r="E193" i="12"/>
  <c r="F187" i="29"/>
  <c r="E193" i="10"/>
  <c r="E192"/>
  <c r="E189" i="18"/>
  <c r="E188"/>
  <c r="E191" i="25"/>
  <c r="E190"/>
  <c r="AF22" i="19"/>
  <c r="AF6"/>
  <c r="E192" i="22"/>
  <c r="AF21"/>
  <c r="AF15"/>
  <c r="AF9"/>
  <c r="AF3"/>
  <c r="AF22" i="5"/>
  <c r="AF19" i="4"/>
  <c r="AF13"/>
  <c r="AF7"/>
  <c r="AF21" i="32"/>
  <c r="AF15"/>
  <c r="AF6"/>
  <c r="AF17" i="24"/>
  <c r="AE23" i="3"/>
  <c r="AF3"/>
  <c r="AE23" i="20"/>
  <c r="Q4" i="18"/>
  <c r="E191" i="11"/>
  <c r="E193" i="23"/>
  <c r="AE23" i="12"/>
  <c r="AE23" i="10"/>
  <c r="AG5"/>
  <c r="AH5" s="1"/>
  <c r="AG17" i="25"/>
  <c r="AH17" s="1"/>
  <c r="AF17"/>
  <c r="AG16" i="30"/>
  <c r="AH16" s="1"/>
  <c r="AF16"/>
  <c r="AG11"/>
  <c r="AH11" s="1"/>
  <c r="AF11"/>
  <c r="AE23"/>
  <c r="E190" i="29"/>
  <c r="E191"/>
  <c r="AG22" i="16"/>
  <c r="AH22" s="1"/>
  <c r="AF22"/>
  <c r="E188" i="20"/>
  <c r="E190" i="10"/>
  <c r="E192" i="15"/>
  <c r="AG12" i="11"/>
  <c r="AH12" s="1"/>
  <c r="AF12"/>
  <c r="AG6" i="23"/>
  <c r="AH6" s="1"/>
  <c r="AF6"/>
  <c r="F187" i="15"/>
  <c r="F187" i="9"/>
  <c r="P187" i="17"/>
  <c r="E193" i="16"/>
  <c r="AG9" i="9"/>
  <c r="AH9" s="1"/>
  <c r="AF9"/>
  <c r="AG9" i="17"/>
  <c r="AH9" s="1"/>
  <c r="AF9"/>
  <c r="E190" i="16"/>
  <c r="E191"/>
  <c r="E191" i="9"/>
  <c r="P187" i="29"/>
  <c r="AG17" i="12"/>
  <c r="AH17" s="1"/>
  <c r="AF17"/>
  <c r="AG21" i="9"/>
  <c r="AH21" s="1"/>
  <c r="AF21"/>
  <c r="E193"/>
  <c r="E192"/>
  <c r="AG21" i="17"/>
  <c r="AH21" s="1"/>
  <c r="AF21"/>
  <c r="AF17" i="18"/>
  <c r="AF11" i="25"/>
  <c r="AF5"/>
  <c r="AF20" i="11"/>
  <c r="AF16"/>
  <c r="AF13"/>
  <c r="AF11"/>
  <c r="AF8"/>
  <c r="P187" i="23"/>
  <c r="AF15"/>
  <c r="AF12"/>
  <c r="E188" i="30"/>
  <c r="AH18" i="15"/>
  <c r="E191"/>
  <c r="AF20" i="9"/>
  <c r="AF20" i="17"/>
  <c r="AG13" i="29"/>
  <c r="AH13" s="1"/>
  <c r="Q4"/>
  <c r="AG22" i="15"/>
  <c r="AH22" s="1"/>
  <c r="AF22"/>
  <c r="AG17" i="29"/>
  <c r="AH17" s="1"/>
  <c r="AF17"/>
  <c r="E189"/>
  <c r="E188"/>
  <c r="P187" i="16"/>
  <c r="Q4"/>
  <c r="AG12" i="23"/>
  <c r="AH12" s="1"/>
  <c r="E190" i="15"/>
  <c r="E193" i="29"/>
  <c r="AG22" i="23"/>
  <c r="AH22" s="1"/>
  <c r="AF22"/>
  <c r="AE23" i="16"/>
  <c r="AG23" s="1"/>
  <c r="AF4"/>
  <c r="AG4" s="1"/>
  <c r="AH4" s="1"/>
  <c r="AG18" i="11"/>
  <c r="AH18" s="1"/>
  <c r="AF18"/>
  <c r="AG15" i="9"/>
  <c r="AH15" s="1"/>
  <c r="AF15"/>
  <c r="AG15" i="17"/>
  <c r="AH15" s="1"/>
  <c r="AF15"/>
  <c r="F187" i="23"/>
  <c r="AG19" i="12"/>
  <c r="AH19" s="1"/>
  <c r="AG9"/>
  <c r="AH9" s="1"/>
  <c r="AH12" i="15"/>
  <c r="P187"/>
  <c r="E190" i="9"/>
  <c r="AF14"/>
  <c r="AG11"/>
  <c r="AH11" s="1"/>
  <c r="AE23"/>
  <c r="AF14" i="17"/>
  <c r="AG7" i="29"/>
  <c r="AH7" s="1"/>
  <c r="AF6"/>
  <c r="E189" i="16"/>
  <c r="AF20" i="29"/>
  <c r="AF19" i="16"/>
  <c r="AF13"/>
  <c r="AF7"/>
  <c r="AG7" s="1"/>
  <c r="AH7" s="1"/>
  <c r="AF21" i="30"/>
  <c r="AF15"/>
  <c r="AF9"/>
  <c r="AF5"/>
  <c r="AF19" i="9"/>
  <c r="AF13"/>
  <c r="AF6"/>
  <c r="AG3"/>
  <c r="AH3" s="1"/>
  <c r="AF19" i="17"/>
  <c r="AF13"/>
  <c r="AF7"/>
  <c r="AF11" i="29"/>
  <c r="AF5"/>
  <c r="M181" i="7"/>
  <c r="K142"/>
  <c r="N79"/>
  <c r="M6"/>
  <c r="N134"/>
  <c r="N42"/>
  <c r="O49"/>
  <c r="O144"/>
  <c r="AJ26" i="25"/>
  <c r="K98" i="7"/>
  <c r="AJ85" i="25"/>
  <c r="L59" i="7"/>
  <c r="O4"/>
  <c r="O154"/>
  <c r="L44"/>
  <c r="AJ106" i="25"/>
  <c r="L93" i="7"/>
  <c r="M71"/>
  <c r="O34"/>
  <c r="O179"/>
  <c r="L112"/>
  <c r="N68"/>
  <c r="K171"/>
  <c r="AJ157" i="25"/>
  <c r="N110" i="7"/>
  <c r="L5"/>
  <c r="M113"/>
  <c r="K75"/>
  <c r="M76"/>
  <c r="K141"/>
  <c r="K39"/>
  <c r="O43"/>
  <c r="L174"/>
  <c r="L24"/>
  <c r="K9"/>
  <c r="N56"/>
  <c r="K131"/>
  <c r="O132"/>
  <c r="N127"/>
  <c r="AJ117" i="25"/>
  <c r="K4" i="7"/>
  <c r="L101"/>
  <c r="AJ28" i="25"/>
  <c r="AJ115"/>
  <c r="L120" i="7"/>
  <c r="O152"/>
  <c r="O170"/>
  <c r="AJ54" i="25"/>
  <c r="K109" i="7"/>
  <c r="L185"/>
  <c r="M50"/>
  <c r="M131"/>
  <c r="K13"/>
  <c r="M183"/>
  <c r="L35"/>
  <c r="L168"/>
  <c r="N19"/>
  <c r="N163"/>
  <c r="N165"/>
  <c r="M65"/>
  <c r="M152"/>
  <c r="N155"/>
  <c r="N33"/>
  <c r="O130"/>
  <c r="N28"/>
  <c r="O19"/>
  <c r="O106"/>
  <c r="AJ63" i="25"/>
  <c r="AJ91"/>
  <c r="O26" i="7"/>
  <c r="O73"/>
  <c r="O13"/>
  <c r="K77"/>
  <c r="K18"/>
  <c r="N82"/>
  <c r="O142"/>
  <c r="M118"/>
  <c r="AJ164" i="25"/>
  <c r="O68" i="7"/>
  <c r="AJ88" i="25"/>
  <c r="AJ146"/>
  <c r="L81" i="7"/>
  <c r="O36"/>
  <c r="AJ80" i="25"/>
  <c r="O180" i="7"/>
  <c r="M141"/>
  <c r="O160"/>
  <c r="N39"/>
  <c r="AJ11" i="25"/>
  <c r="M136" i="7"/>
  <c r="AJ109" i="25"/>
  <c r="AJ10"/>
  <c r="AJ160"/>
  <c r="O151" i="7"/>
  <c r="K68"/>
  <c r="N106"/>
  <c r="M139"/>
  <c r="N128"/>
  <c r="K96"/>
  <c r="L86"/>
  <c r="O174"/>
  <c r="AJ16" i="25"/>
  <c r="K99" i="7"/>
  <c r="N14"/>
  <c r="M16"/>
  <c r="AJ46" i="25"/>
  <c r="L82" i="7"/>
  <c r="K146"/>
  <c r="O86"/>
  <c r="L42"/>
  <c r="AJ133" i="25"/>
  <c r="N25" i="7"/>
  <c r="AJ4" i="25"/>
  <c r="K42" i="7"/>
  <c r="L98"/>
  <c r="K145"/>
  <c r="AJ143" i="25"/>
  <c r="O37" i="7"/>
  <c r="L177"/>
  <c r="K180"/>
  <c r="AJ29" i="25"/>
  <c r="O178" i="7"/>
  <c r="N84"/>
  <c r="N75"/>
  <c r="K76"/>
  <c r="N94"/>
  <c r="N63"/>
  <c r="AJ13" i="25"/>
  <c r="M73" i="7"/>
  <c r="O52"/>
  <c r="O84"/>
  <c r="M86"/>
  <c r="N162"/>
  <c r="AJ120" i="25"/>
  <c r="O162" i="7"/>
  <c r="K34"/>
  <c r="K38"/>
  <c r="AJ59" i="25"/>
  <c r="N114" i="7"/>
  <c r="K178"/>
  <c r="AJ48" i="25"/>
  <c r="M169" i="7"/>
  <c r="L160"/>
  <c r="M87"/>
  <c r="O148"/>
  <c r="M160"/>
  <c r="O136"/>
  <c r="K84"/>
  <c r="L122"/>
  <c r="K111"/>
  <c r="K129"/>
  <c r="K26"/>
  <c r="AJ73" i="25"/>
  <c r="M43" i="7"/>
  <c r="K118"/>
  <c r="M110"/>
  <c r="K132"/>
  <c r="M95"/>
  <c r="O20"/>
  <c r="N58"/>
  <c r="N179"/>
  <c r="L110"/>
  <c r="M109"/>
  <c r="M174"/>
  <c r="K120"/>
  <c r="AJ31" i="25"/>
  <c r="N154" i="7"/>
  <c r="K173"/>
  <c r="AJ126" i="25"/>
  <c r="O176" i="7"/>
  <c r="M8"/>
  <c r="N77"/>
  <c r="O125"/>
  <c r="K94"/>
  <c r="K182"/>
  <c r="N23"/>
  <c r="K106"/>
  <c r="N8"/>
  <c r="L10"/>
  <c r="O128"/>
  <c r="K10"/>
  <c r="K115"/>
  <c r="AJ87" i="25"/>
  <c r="O5" i="7"/>
  <c r="M31"/>
  <c r="K107"/>
  <c r="N85"/>
  <c r="M67"/>
  <c r="K112"/>
  <c r="L159"/>
  <c r="AJ152" i="25"/>
  <c r="N141" i="7"/>
  <c r="M99"/>
  <c r="O67"/>
  <c r="K162"/>
  <c r="K127"/>
  <c r="L119"/>
  <c r="L6"/>
  <c r="N136"/>
  <c r="L181"/>
  <c r="K166"/>
  <c r="AJ119" i="25"/>
  <c r="N125" i="7"/>
  <c r="L147"/>
  <c r="O47"/>
  <c r="O30"/>
  <c r="K86"/>
  <c r="N176"/>
  <c r="O9"/>
  <c r="M5"/>
  <c r="O118"/>
  <c r="L141"/>
  <c r="L26"/>
  <c r="AJ78" i="25"/>
  <c r="L106" i="7"/>
  <c r="AJ99" i="25"/>
  <c r="K169" i="7"/>
  <c r="K102"/>
  <c r="O29"/>
  <c r="AJ141" i="25"/>
  <c r="K49" i="7"/>
  <c r="O116"/>
  <c r="L20"/>
  <c r="K71"/>
  <c r="L60"/>
  <c r="AJ149" i="25"/>
  <c r="M96" i="7"/>
  <c r="M88"/>
  <c r="AJ147" i="25"/>
  <c r="M165" i="7"/>
  <c r="AJ97" i="25"/>
  <c r="AJ167"/>
  <c r="L38" i="7"/>
  <c r="AJ47" i="25"/>
  <c r="L58" i="7"/>
  <c r="N20"/>
  <c r="O139"/>
  <c r="N161"/>
  <c r="K179"/>
  <c r="L125"/>
  <c r="L132"/>
  <c r="L15"/>
  <c r="M72"/>
  <c r="O167"/>
  <c r="AJ81" i="25"/>
  <c r="K63" i="7"/>
  <c r="K154"/>
  <c r="L157"/>
  <c r="N157"/>
  <c r="AJ121" i="25"/>
  <c r="N66" i="7"/>
  <c r="O111"/>
  <c r="O115"/>
  <c r="L68"/>
  <c r="N145"/>
  <c r="AJ37" i="25"/>
  <c r="AJ8"/>
  <c r="K58" i="7"/>
  <c r="L14"/>
  <c r="K87"/>
  <c r="N122"/>
  <c r="M59"/>
  <c r="N86"/>
  <c r="N115"/>
  <c r="L172"/>
  <c r="AJ3" i="25"/>
  <c r="N87" i="7"/>
  <c r="O131"/>
  <c r="L67"/>
  <c r="O77"/>
  <c r="AJ153" i="25"/>
  <c r="M33" i="7"/>
  <c r="AJ52" i="25"/>
  <c r="AJ103"/>
  <c r="M40" i="7"/>
  <c r="K80"/>
  <c r="L78"/>
  <c r="M132"/>
  <c r="AJ156" i="25"/>
  <c r="M102" i="7"/>
  <c r="M69"/>
  <c r="L16"/>
  <c r="AJ134" i="25"/>
  <c r="AJ162"/>
  <c r="AJ69"/>
  <c r="AJ104"/>
  <c r="K64" i="7"/>
  <c r="N99"/>
  <c r="N112"/>
  <c r="K144"/>
  <c r="L3"/>
  <c r="L19"/>
  <c r="L130"/>
  <c r="N169"/>
  <c r="K53"/>
  <c r="N18"/>
  <c r="AJ14" i="25"/>
  <c r="O126" i="7"/>
  <c r="AJ179" i="25"/>
  <c r="L111" i="7"/>
  <c r="K52"/>
  <c r="L8"/>
  <c r="AJ51" i="25"/>
  <c r="M106" i="7"/>
  <c r="L34"/>
  <c r="AJ15" i="25"/>
  <c r="AJ75"/>
  <c r="N74" i="7"/>
  <c r="AJ89" i="25"/>
  <c r="N26" i="7"/>
  <c r="N76"/>
  <c r="L162"/>
  <c r="K125"/>
  <c r="L29"/>
  <c r="O15"/>
  <c r="K61"/>
  <c r="K73"/>
  <c r="K74"/>
  <c r="L43"/>
  <c r="L36"/>
  <c r="AJ174" i="25"/>
  <c r="N44" i="7"/>
  <c r="M24"/>
  <c r="N47"/>
  <c r="N131"/>
  <c r="AJ108" i="25"/>
  <c r="L155" i="7"/>
  <c r="N80"/>
  <c r="O33"/>
  <c r="M63"/>
  <c r="M167"/>
  <c r="AJ136" i="25"/>
  <c r="M159" i="7"/>
  <c r="K157"/>
  <c r="O8"/>
  <c r="N96"/>
  <c r="L167"/>
  <c r="K130"/>
  <c r="L169"/>
  <c r="AJ7" i="25"/>
  <c r="N89" i="7"/>
  <c r="L127"/>
  <c r="AJ111" i="25"/>
  <c r="K128" i="7"/>
  <c r="L149"/>
  <c r="O92"/>
  <c r="AJ72" i="25"/>
  <c r="O112" i="7"/>
  <c r="L75"/>
  <c r="AJ144" i="25"/>
  <c r="AJ154"/>
  <c r="K137" i="7"/>
  <c r="O157"/>
  <c r="M185"/>
  <c r="K119"/>
  <c r="N182"/>
  <c r="O88"/>
  <c r="M38"/>
  <c r="L100"/>
  <c r="AJ107" i="25"/>
  <c r="O121" i="7"/>
  <c r="M79"/>
  <c r="AJ93" i="25"/>
  <c r="N98" i="7"/>
  <c r="N140"/>
  <c r="O149"/>
  <c r="K147"/>
  <c r="K85"/>
  <c r="K56"/>
  <c r="O72"/>
  <c r="L69"/>
  <c r="L148"/>
  <c r="AJ71" i="25"/>
  <c r="K89" i="7"/>
  <c r="L182"/>
  <c r="AJ20" i="25"/>
  <c r="N81" i="7"/>
  <c r="N30"/>
  <c r="L165"/>
  <c r="AJ173" i="25"/>
  <c r="K37" i="7"/>
  <c r="O161"/>
  <c r="K185"/>
  <c r="M135"/>
  <c r="L30"/>
  <c r="O183"/>
  <c r="N133"/>
  <c r="M66"/>
  <c r="N159"/>
  <c r="O110"/>
  <c r="M126"/>
  <c r="L107"/>
  <c r="N93"/>
  <c r="O21"/>
  <c r="L161"/>
  <c r="N35"/>
  <c r="O69"/>
  <c r="L97"/>
  <c r="L52"/>
  <c r="M117"/>
  <c r="M30"/>
  <c r="K170"/>
  <c r="N40"/>
  <c r="AJ79" i="25"/>
  <c r="O54" i="7"/>
  <c r="M47"/>
  <c r="O146"/>
  <c r="N100"/>
  <c r="L146"/>
  <c r="N143"/>
  <c r="M60"/>
  <c r="O57"/>
  <c r="AJ118" i="25"/>
  <c r="O98" i="7"/>
  <c r="AJ35" i="25"/>
  <c r="O61" i="7"/>
  <c r="M127"/>
  <c r="O182"/>
  <c r="K65"/>
  <c r="AJ100" i="25"/>
  <c r="AJ36"/>
  <c r="M150" i="7"/>
  <c r="M123"/>
  <c r="O31"/>
  <c r="K19"/>
  <c r="L178"/>
  <c r="K23"/>
  <c r="O85"/>
  <c r="N92"/>
  <c r="L21"/>
  <c r="K161"/>
  <c r="AJ110" i="25"/>
  <c r="L57" i="7"/>
  <c r="L85"/>
  <c r="N123"/>
  <c r="K88"/>
  <c r="M171"/>
  <c r="K67"/>
  <c r="O181"/>
  <c r="K35"/>
  <c r="O147"/>
  <c r="O137"/>
  <c r="AJ27" i="25"/>
  <c r="O6" i="7"/>
  <c r="O63"/>
  <c r="M13"/>
  <c r="L158"/>
  <c r="K81"/>
  <c r="M61"/>
  <c r="AJ41" i="25"/>
  <c r="L37" i="7"/>
  <c r="K148"/>
  <c r="M98"/>
  <c r="L176"/>
  <c r="M119"/>
  <c r="L126"/>
  <c r="L144"/>
  <c r="AJ129" i="25"/>
  <c r="O119" i="7"/>
  <c r="K54"/>
  <c r="K155"/>
  <c r="K25"/>
  <c r="M172"/>
  <c r="N38"/>
  <c r="AJ70" i="25"/>
  <c r="M9" i="7"/>
  <c r="K160"/>
  <c r="M75"/>
  <c r="O145"/>
  <c r="L173"/>
  <c r="AJ42" i="25"/>
  <c r="L151" i="7"/>
  <c r="L170"/>
  <c r="O172"/>
  <c r="L109"/>
  <c r="L116"/>
  <c r="L153"/>
  <c r="AJ17" i="25"/>
  <c r="K126" i="7"/>
  <c r="N181"/>
  <c r="O59"/>
  <c r="K6"/>
  <c r="M11"/>
  <c r="N174"/>
  <c r="L84"/>
  <c r="AJ94" i="25"/>
  <c r="N111" i="7"/>
  <c r="AJ105" i="25"/>
  <c r="AJ131"/>
  <c r="AJ127"/>
  <c r="M42" i="7"/>
  <c r="O109"/>
  <c r="K168"/>
  <c r="N120"/>
  <c r="AJ102" i="25"/>
  <c r="K21" i="7"/>
  <c r="M92"/>
  <c r="L121"/>
  <c r="O163"/>
  <c r="K36"/>
  <c r="O155"/>
  <c r="N51"/>
  <c r="AJ124" i="25"/>
  <c r="O95" i="7"/>
  <c r="M44"/>
  <c r="L74"/>
  <c r="N137"/>
  <c r="O171"/>
  <c r="L87"/>
  <c r="N10"/>
  <c r="AJ168" i="25"/>
  <c r="O173" i="7"/>
  <c r="K123"/>
  <c r="N152"/>
  <c r="N144"/>
  <c r="O134"/>
  <c r="O122"/>
  <c r="L77"/>
  <c r="N166"/>
  <c r="N132"/>
  <c r="O64"/>
  <c r="N129"/>
  <c r="O169"/>
  <c r="N15"/>
  <c r="AJ172" i="25"/>
  <c r="O123" i="7"/>
  <c r="M25"/>
  <c r="K8"/>
  <c r="M19"/>
  <c r="L88"/>
  <c r="K152"/>
  <c r="N64"/>
  <c r="O143"/>
  <c r="N139"/>
  <c r="AJ145" i="25"/>
  <c r="AJ38"/>
  <c r="O97" i="7"/>
  <c r="L71"/>
  <c r="L128"/>
  <c r="K149"/>
  <c r="M36"/>
  <c r="AJ6" i="25"/>
  <c r="N102" i="7"/>
  <c r="O184"/>
  <c r="L143"/>
  <c r="M23"/>
  <c r="L9"/>
  <c r="K60"/>
  <c r="O46"/>
  <c r="L184"/>
  <c r="O120"/>
  <c r="M145"/>
  <c r="AJ122" i="25"/>
  <c r="N78" i="7"/>
  <c r="O129"/>
  <c r="K184"/>
  <c r="N4"/>
  <c r="AJ176" i="25"/>
  <c r="L46" i="7"/>
  <c r="L25"/>
  <c r="N168"/>
  <c r="AJ155" i="25"/>
  <c r="O51" i="7"/>
  <c r="N167"/>
  <c r="N160"/>
  <c r="K100"/>
  <c r="O166"/>
  <c r="M120"/>
  <c r="L118"/>
  <c r="M58"/>
  <c r="N9"/>
  <c r="N116"/>
  <c r="M157"/>
  <c r="O100"/>
  <c r="AJ60" i="25"/>
  <c r="O74" i="7"/>
  <c r="N121"/>
  <c r="N178"/>
  <c r="O53"/>
  <c r="N180"/>
  <c r="M162"/>
  <c r="M168"/>
  <c r="K16"/>
  <c r="O18"/>
  <c r="N72"/>
  <c r="O76"/>
  <c r="AJ138" i="25"/>
  <c r="K151" i="7"/>
  <c r="O89"/>
  <c r="AJ170" i="25"/>
  <c r="AJ50"/>
  <c r="O150" i="7"/>
  <c r="K57"/>
  <c r="K174"/>
  <c r="O93"/>
  <c r="N117"/>
  <c r="M170"/>
  <c r="AJ177" i="25"/>
  <c r="AJ184"/>
  <c r="L49" i="7"/>
  <c r="O65"/>
  <c r="O40"/>
  <c r="AJ123" i="25"/>
  <c r="M129" i="7"/>
  <c r="L183"/>
  <c r="M100"/>
  <c r="M121"/>
  <c r="K11"/>
  <c r="M54"/>
  <c r="N11"/>
  <c r="K72"/>
  <c r="AJ5" i="25"/>
  <c r="M20" i="7"/>
  <c r="N60"/>
  <c r="O185"/>
  <c r="N118"/>
  <c r="M64"/>
  <c r="M151"/>
  <c r="K43"/>
  <c r="L142"/>
  <c r="K59"/>
  <c r="K66"/>
  <c r="K113"/>
  <c r="N97"/>
  <c r="K134"/>
  <c r="L166"/>
  <c r="N172"/>
  <c r="AJ65" i="25"/>
  <c r="O165" i="7"/>
  <c r="L79"/>
  <c r="K45"/>
  <c r="AJ64" i="25"/>
  <c r="M147" i="7"/>
  <c r="N119"/>
  <c r="O38"/>
  <c r="N31"/>
  <c r="M125"/>
  <c r="K101"/>
  <c r="O80"/>
  <c r="M93"/>
  <c r="N43"/>
  <c r="M80"/>
  <c r="O14"/>
  <c r="M173"/>
  <c r="AJ45" i="25"/>
  <c r="AJ182"/>
  <c r="O87" i="7"/>
  <c r="K136"/>
  <c r="O81"/>
  <c r="O113"/>
  <c r="K110"/>
  <c r="M15"/>
  <c r="O114"/>
  <c r="K82"/>
  <c r="O82"/>
  <c r="N184"/>
  <c r="M178"/>
  <c r="N158"/>
  <c r="K95"/>
  <c r="N50"/>
  <c r="L96"/>
  <c r="L80"/>
  <c r="N183"/>
  <c r="N57"/>
  <c r="L4"/>
  <c r="L53"/>
  <c r="AJ55" i="25"/>
  <c r="L139" i="7"/>
  <c r="K172"/>
  <c r="O25"/>
  <c r="M153"/>
  <c r="AJ61" i="25"/>
  <c r="N49" i="7"/>
  <c r="M134"/>
  <c r="AJ49" i="25"/>
  <c r="L51" i="7"/>
  <c r="L65"/>
  <c r="M18"/>
  <c r="AJ101" i="25"/>
  <c r="N101" i="7"/>
  <c r="AJ128" i="25"/>
  <c r="AJ66"/>
  <c r="AJ171"/>
  <c r="N185" i="7"/>
  <c r="K24"/>
  <c r="K139"/>
  <c r="K158"/>
  <c r="M49"/>
  <c r="AJ185" i="25"/>
  <c r="L129" i="7"/>
  <c r="M91"/>
  <c r="M14"/>
  <c r="N71"/>
  <c r="L39"/>
  <c r="AJ9" i="25"/>
  <c r="M149" i="7"/>
  <c r="O127"/>
  <c r="AJ112" i="25"/>
  <c r="M161" i="7"/>
  <c r="AJ77" i="25"/>
  <c r="AJ62"/>
  <c r="M180" i="7"/>
  <c r="M84"/>
  <c r="M158"/>
  <c r="K114"/>
  <c r="L18"/>
  <c r="M115"/>
  <c r="AJ82" i="25"/>
  <c r="O23" i="7"/>
  <c r="L63"/>
  <c r="M144"/>
  <c r="L137"/>
  <c r="O177"/>
  <c r="L145"/>
  <c r="O159"/>
  <c r="L115"/>
  <c r="N88"/>
  <c r="K46"/>
  <c r="AJ96" i="25"/>
  <c r="O117" i="7"/>
  <c r="N151"/>
  <c r="O58"/>
  <c r="AJ169" i="25"/>
  <c r="AJ151"/>
  <c r="L11" i="7"/>
  <c r="M112"/>
  <c r="AJ57" i="25"/>
  <c r="N6" i="7"/>
  <c r="L73"/>
  <c r="N126"/>
  <c r="M176"/>
  <c r="M45"/>
  <c r="M184"/>
  <c r="N149"/>
  <c r="M10"/>
  <c r="L61"/>
  <c r="M34"/>
  <c r="M130"/>
  <c r="N3"/>
  <c r="O141"/>
  <c r="L154"/>
  <c r="O79"/>
  <c r="O42"/>
  <c r="K122"/>
  <c r="AJ183" i="25"/>
  <c r="L131" i="7"/>
  <c r="K133"/>
  <c r="O35"/>
  <c r="M37"/>
  <c r="M46"/>
  <c r="N153"/>
  <c r="M107"/>
  <c r="N46"/>
  <c r="L23"/>
  <c r="K159"/>
  <c r="K33"/>
  <c r="AJ56" i="25"/>
  <c r="O56" i="7"/>
  <c r="AJ180" i="25"/>
  <c r="M97" i="7"/>
  <c r="N54"/>
  <c r="AJ114" i="25"/>
  <c r="L94" i="7"/>
  <c r="L123"/>
  <c r="M114"/>
  <c r="M29"/>
  <c r="M146"/>
  <c r="AJ150" i="25"/>
  <c r="L163" i="7"/>
  <c r="M89"/>
  <c r="N95"/>
  <c r="K183"/>
  <c r="K91"/>
  <c r="M28"/>
  <c r="M133"/>
  <c r="L140"/>
  <c r="M81"/>
  <c r="K28"/>
  <c r="M166"/>
  <c r="M122"/>
  <c r="M163"/>
  <c r="M21"/>
  <c r="AJ90" i="25"/>
  <c r="L150" i="7"/>
  <c r="M94"/>
  <c r="O133"/>
  <c r="N177"/>
  <c r="N16"/>
  <c r="L171"/>
  <c r="AJ21" i="25"/>
  <c r="L134" i="7"/>
  <c r="N135"/>
  <c r="AJ148" i="25"/>
  <c r="M179" i="7"/>
  <c r="O3"/>
  <c r="O16"/>
  <c r="AJ137" i="25"/>
  <c r="L54" i="7"/>
  <c r="K69"/>
  <c r="O75"/>
  <c r="O96"/>
  <c r="N61"/>
  <c r="AJ139" i="25"/>
  <c r="AJ68"/>
  <c r="M85" i="7"/>
  <c r="K20"/>
  <c r="O108"/>
  <c r="M116"/>
  <c r="L56"/>
  <c r="O50"/>
  <c r="K15"/>
  <c r="AJ135" i="25"/>
  <c r="M128" i="7"/>
  <c r="M3"/>
  <c r="N73"/>
  <c r="L117"/>
  <c r="N5"/>
  <c r="M101"/>
  <c r="M140"/>
  <c r="O71"/>
  <c r="AJ161" i="25"/>
  <c r="O24" i="7"/>
  <c r="M57"/>
  <c r="M111"/>
  <c r="AJ130" i="25"/>
  <c r="N34" i="7"/>
  <c r="O28"/>
  <c r="O45"/>
  <c r="M51"/>
  <c r="M108"/>
  <c r="AJ181" i="25"/>
  <c r="O158" i="7"/>
  <c r="AJ39" i="25"/>
  <c r="K3" i="7"/>
  <c r="AJ159" i="25"/>
  <c r="M78" i="7"/>
  <c r="AJ166" i="25"/>
  <c r="K97" i="7"/>
  <c r="N36"/>
  <c r="L136"/>
  <c r="N173"/>
  <c r="K30"/>
  <c r="O60"/>
  <c r="M52"/>
  <c r="K121"/>
  <c r="M182"/>
  <c r="AJ98" i="25"/>
  <c r="O168" i="7"/>
  <c r="L179"/>
  <c r="L13"/>
  <c r="M68"/>
  <c r="AJ53" i="25"/>
  <c r="AJ142"/>
  <c r="L76" i="7"/>
  <c r="N65"/>
  <c r="AJ74" i="25"/>
  <c r="AJ86"/>
  <c r="N29" i="7"/>
  <c r="N67"/>
  <c r="K176"/>
  <c r="L135"/>
  <c r="AJ44" i="25"/>
  <c r="N69" i="7"/>
  <c r="L91"/>
  <c r="N113"/>
  <c r="M148"/>
  <c r="N13"/>
  <c r="N45"/>
  <c r="K93"/>
  <c r="AJ178" i="25"/>
  <c r="K153" i="7"/>
  <c r="K108"/>
  <c r="M53"/>
  <c r="K78"/>
  <c r="AJ12" i="25"/>
  <c r="L102" i="7"/>
  <c r="AJ116" i="25"/>
  <c r="AJ23"/>
  <c r="L28" i="7"/>
  <c r="L152"/>
  <c r="L64"/>
  <c r="AJ95" i="25"/>
  <c r="AJ140"/>
  <c r="AJ58"/>
  <c r="K140" i="7"/>
  <c r="M154"/>
  <c r="K51"/>
  <c r="K167"/>
  <c r="K44"/>
  <c r="AJ163" i="25"/>
  <c r="K116" i="7"/>
  <c r="AJ113" i="25"/>
  <c r="L66" i="7"/>
  <c r="L40"/>
  <c r="AJ33" i="25"/>
  <c r="M143" i="7"/>
  <c r="O94"/>
  <c r="O102"/>
  <c r="AJ43" i="25"/>
  <c r="M155" i="7"/>
  <c r="AJ40" i="25"/>
  <c r="M142" i="7"/>
  <c r="K117"/>
  <c r="K150"/>
  <c r="L47"/>
  <c r="AJ92" i="25"/>
  <c r="K177" i="7"/>
  <c r="K92"/>
  <c r="L113"/>
  <c r="N146"/>
  <c r="K29"/>
  <c r="N107"/>
  <c r="M82"/>
  <c r="M39"/>
  <c r="K135"/>
  <c r="M177"/>
  <c r="AJ25" i="25"/>
  <c r="N24" i="7"/>
  <c r="AJ83" i="25"/>
  <c r="AJ32"/>
  <c r="O135" i="7"/>
  <c r="M35"/>
  <c r="O44"/>
  <c r="O107"/>
  <c r="K79"/>
  <c r="N59"/>
  <c r="AJ19" i="25"/>
  <c r="N150" i="7"/>
  <c r="K40"/>
  <c r="AJ158" i="25"/>
  <c r="O78" i="7"/>
  <c r="AJ18" i="25"/>
  <c r="O140" i="7"/>
  <c r="N21"/>
  <c r="N142"/>
  <c r="AJ67" i="25"/>
  <c r="AJ165"/>
  <c r="K165" i="7"/>
  <c r="O153"/>
  <c r="K163"/>
  <c r="N53"/>
  <c r="O101"/>
  <c r="L50"/>
  <c r="L99"/>
  <c r="L180"/>
  <c r="K14"/>
  <c r="K50"/>
  <c r="K47"/>
  <c r="O10"/>
  <c r="L89"/>
  <c r="N52"/>
  <c r="K31"/>
  <c r="O99"/>
  <c r="L31"/>
  <c r="L108"/>
  <c r="AJ34" i="25"/>
  <c r="AJ76"/>
  <c r="AJ84"/>
  <c r="M137" i="7"/>
  <c r="M26"/>
  <c r="AJ22" i="25"/>
  <c r="O91" i="7"/>
  <c r="N109"/>
  <c r="L114"/>
  <c r="M74"/>
  <c r="M4"/>
  <c r="N147"/>
  <c r="M56"/>
  <c r="N170"/>
  <c r="N130"/>
  <c r="AJ175" i="25"/>
  <c r="N108" i="7"/>
  <c r="AJ24" i="25"/>
  <c r="O11" i="7"/>
  <c r="L72"/>
  <c r="L45"/>
  <c r="AJ132" i="25"/>
  <c r="K181" i="7"/>
  <c r="N37"/>
  <c r="L133"/>
  <c r="K5"/>
  <c r="AJ30" i="25"/>
  <c r="L92" i="7"/>
  <c r="N91"/>
  <c r="M77"/>
  <c r="AJ125" i="25"/>
  <c r="N171" i="7"/>
  <c r="K143"/>
  <c r="N148"/>
  <c r="L95"/>
  <c r="L33"/>
  <c r="O39"/>
  <c r="O66"/>
  <c r="AH23" i="31" l="1"/>
  <c r="Q2" s="1"/>
  <c r="AG23" i="5"/>
  <c r="AH23" i="18"/>
  <c r="Q2" s="1"/>
  <c r="AH23" i="29"/>
  <c r="Q2" s="1"/>
  <c r="AG23" i="24"/>
  <c r="AG23" i="26"/>
  <c r="AG23" i="12"/>
  <c r="AH23" i="21"/>
  <c r="Q2" s="1"/>
  <c r="AG23"/>
  <c r="AG23" i="2"/>
  <c r="AG23" i="4"/>
  <c r="AG23" i="18"/>
  <c r="AG23" i="20"/>
  <c r="AG23" i="28"/>
  <c r="AH23"/>
  <c r="Q2" s="1"/>
  <c r="AG23" i="25"/>
  <c r="AH23"/>
  <c r="Q2" s="1"/>
  <c r="AG23" i="29"/>
  <c r="AG23" i="10"/>
  <c r="AG23" i="33"/>
  <c r="AG23" i="7"/>
  <c r="AG23" i="3"/>
  <c r="AH23"/>
  <c r="Q2" s="1"/>
  <c r="AG23" i="23"/>
  <c r="AG23" i="22"/>
  <c r="AH23" i="26"/>
  <c r="Q2" s="1"/>
  <c r="AH23" i="12"/>
  <c r="Q2" s="1"/>
  <c r="AH23" i="2"/>
  <c r="Q2" s="1"/>
  <c r="AH23" i="20"/>
  <c r="Q2" s="1"/>
  <c r="AH23" i="10"/>
  <c r="Q2" s="1"/>
  <c r="AH23" i="33"/>
  <c r="Q2" s="1"/>
  <c r="AH23" i="7"/>
  <c r="Q2" s="1"/>
  <c r="AH23" i="23"/>
  <c r="Q2" s="1"/>
  <c r="AG23" i="17"/>
  <c r="AH23"/>
  <c r="Q2" s="1"/>
  <c r="AG23" i="32"/>
  <c r="AH23"/>
  <c r="Q2" s="1"/>
  <c r="AG23" i="30"/>
  <c r="AG23" i="6"/>
  <c r="AH23"/>
  <c r="Q2" s="1"/>
  <c r="AG23" i="31"/>
  <c r="AG23" i="9"/>
  <c r="AG23" i="27"/>
  <c r="AG23" i="1"/>
  <c r="AG23" i="19"/>
  <c r="AG23" i="15"/>
  <c r="AH23" i="27"/>
  <c r="Q2" s="1"/>
  <c r="AJ187" i="25"/>
  <c r="AJ1" s="1"/>
  <c r="AH23" i="19"/>
  <c r="Q2" s="1"/>
  <c r="AH23" i="11"/>
  <c r="Q2" s="1"/>
  <c r="AH23" i="16"/>
  <c r="Q2" s="1"/>
  <c r="L187" i="5"/>
  <c r="K191" i="27"/>
  <c r="K190"/>
  <c r="K188" i="5"/>
  <c r="K189"/>
  <c r="K188" i="19"/>
  <c r="K189"/>
  <c r="K188" i="16"/>
  <c r="K189"/>
  <c r="K193" i="2"/>
  <c r="K192"/>
  <c r="K192" i="26"/>
  <c r="K193"/>
  <c r="K188" i="22"/>
  <c r="K189"/>
  <c r="K188" i="29"/>
  <c r="K189"/>
  <c r="K188" i="9"/>
  <c r="K189"/>
  <c r="K192" i="19"/>
  <c r="K193"/>
  <c r="K192" i="5"/>
  <c r="K193"/>
  <c r="K193" i="31"/>
  <c r="K192"/>
  <c r="K188" i="6"/>
  <c r="K189"/>
  <c r="K193" i="4"/>
  <c r="K192"/>
  <c r="K189" i="23"/>
  <c r="K188"/>
  <c r="L187" i="1"/>
  <c r="K190" i="30"/>
  <c r="K191"/>
  <c r="L187" i="31"/>
  <c r="L187" i="21"/>
  <c r="K190" i="10"/>
  <c r="K191"/>
  <c r="K191" i="19"/>
  <c r="K190"/>
  <c r="K188" i="25"/>
  <c r="K189"/>
  <c r="K189" i="31"/>
  <c r="K188"/>
  <c r="L187" i="7"/>
  <c r="K193" i="25"/>
  <c r="K192"/>
  <c r="K188" i="33"/>
  <c r="K189"/>
  <c r="K191" i="20"/>
  <c r="K190"/>
  <c r="K192" i="30"/>
  <c r="K193"/>
  <c r="L187" i="17"/>
  <c r="K190"/>
  <c r="K191"/>
  <c r="L187" i="33"/>
  <c r="L187" i="2"/>
  <c r="K193" i="28"/>
  <c r="K192"/>
  <c r="L187" i="15"/>
  <c r="L187" i="30"/>
  <c r="K191" i="9"/>
  <c r="K190"/>
  <c r="K190" i="18"/>
  <c r="K191"/>
  <c r="L187" i="22"/>
  <c r="K189" i="26"/>
  <c r="K188"/>
  <c r="L187" i="12"/>
  <c r="K191" i="11"/>
  <c r="K190"/>
  <c r="K193" i="24"/>
  <c r="K192"/>
  <c r="K192" i="21"/>
  <c r="K193"/>
  <c r="L187" i="25"/>
  <c r="K189" i="18"/>
  <c r="K188"/>
  <c r="L187" i="27"/>
  <c r="L187" i="32"/>
  <c r="K192"/>
  <c r="K193"/>
  <c r="K191" i="7"/>
  <c r="K190"/>
  <c r="L187" i="10"/>
  <c r="K193" i="9"/>
  <c r="K192"/>
  <c r="L187" i="24"/>
  <c r="K193" i="3"/>
  <c r="K192"/>
  <c r="L187" i="20"/>
  <c r="K190" i="32"/>
  <c r="K191"/>
  <c r="K188"/>
  <c r="K189"/>
  <c r="K189" i="11"/>
  <c r="K188"/>
  <c r="K192" i="23"/>
  <c r="K193"/>
  <c r="L187" i="4"/>
  <c r="K190" i="22"/>
  <c r="K191"/>
  <c r="K193" i="27"/>
  <c r="K192"/>
  <c r="K190" i="3"/>
  <c r="K191"/>
  <c r="K190" i="33"/>
  <c r="K191"/>
  <c r="K190" i="5"/>
  <c r="K191"/>
  <c r="K191" i="15"/>
  <c r="K190"/>
  <c r="K190" i="21"/>
  <c r="K191"/>
  <c r="K190" i="23"/>
  <c r="K191"/>
  <c r="L187"/>
  <c r="K189" i="10"/>
  <c r="K188"/>
  <c r="K193" i="29"/>
  <c r="K192"/>
  <c r="K189" i="4"/>
  <c r="K188"/>
  <c r="K188" i="30"/>
  <c r="K189"/>
  <c r="K193" i="12"/>
  <c r="K192"/>
  <c r="L187" i="6"/>
  <c r="K188" i="7"/>
  <c r="K189"/>
  <c r="K188" i="27"/>
  <c r="K189"/>
  <c r="K192" i="7"/>
  <c r="K193"/>
  <c r="K188" i="2"/>
  <c r="K189"/>
  <c r="K192" i="1"/>
  <c r="K193"/>
  <c r="K192" i="17"/>
  <c r="K193"/>
  <c r="K193" i="6"/>
  <c r="K192"/>
  <c r="K191" i="31"/>
  <c r="K190"/>
  <c r="K190" i="25"/>
  <c r="K191"/>
  <c r="K190" i="4"/>
  <c r="K191"/>
  <c r="K192" i="10"/>
  <c r="K193"/>
  <c r="K189" i="28"/>
  <c r="K188"/>
  <c r="K191"/>
  <c r="K190"/>
  <c r="K191" i="6"/>
  <c r="K190"/>
  <c r="L187" i="3"/>
  <c r="K191" i="2"/>
  <c r="K190"/>
  <c r="K188" i="1"/>
  <c r="K189"/>
  <c r="L187" i="26"/>
  <c r="K188" i="17"/>
  <c r="K189"/>
  <c r="K188" i="12"/>
  <c r="K189"/>
  <c r="K193" i="11"/>
  <c r="K192"/>
  <c r="K190" i="1"/>
  <c r="K191"/>
  <c r="K189" i="24"/>
  <c r="K188"/>
  <c r="K189" i="21"/>
  <c r="K188"/>
  <c r="L187" i="19"/>
  <c r="K191" i="26"/>
  <c r="K190"/>
  <c r="K192" i="20"/>
  <c r="K193"/>
  <c r="K191" i="12"/>
  <c r="K190"/>
  <c r="K189" i="3"/>
  <c r="K188"/>
  <c r="L187" i="29"/>
  <c r="L187" i="16"/>
  <c r="K189" i="15"/>
  <c r="K188"/>
  <c r="K193" i="16"/>
  <c r="K192"/>
  <c r="L187" i="18"/>
  <c r="K193" i="33"/>
  <c r="K192"/>
  <c r="K191" i="16"/>
  <c r="K190"/>
  <c r="K190" i="24"/>
  <c r="K191"/>
  <c r="K193" i="18"/>
  <c r="K192"/>
  <c r="L187" i="11"/>
  <c r="L187" i="28"/>
  <c r="K192" i="15"/>
  <c r="K193"/>
  <c r="K193" i="22"/>
  <c r="K192"/>
  <c r="K189" i="20"/>
  <c r="K188"/>
  <c r="K190" i="29"/>
  <c r="K191"/>
  <c r="L187" i="9"/>
  <c r="AH23" i="5"/>
  <c r="Q2" s="1"/>
  <c r="AH23" i="24"/>
  <c r="Q2" s="1"/>
  <c r="AH23" i="9"/>
  <c r="Q2" s="1"/>
  <c r="AH23" i="30"/>
  <c r="Q2" s="1"/>
  <c r="AH23" i="15"/>
  <c r="Q2" s="1"/>
  <c r="AH23" i="4"/>
  <c r="Q2" s="1"/>
  <c r="AH23" i="1"/>
  <c r="Q2" s="1"/>
  <c r="AH23" i="22"/>
  <c r="Q2" s="1"/>
</calcChain>
</file>

<file path=xl/sharedStrings.xml><?xml version="1.0" encoding="utf-8"?>
<sst xmlns="http://schemas.openxmlformats.org/spreadsheetml/2006/main" count="23436" uniqueCount="1920">
  <si>
    <t>Starts</t>
  </si>
  <si>
    <t>IP/St</t>
  </si>
  <si>
    <t>R</t>
  </si>
  <si>
    <t>L</t>
  </si>
  <si>
    <t>IP</t>
  </si>
  <si>
    <t>Grade</t>
  </si>
  <si>
    <t>Starter</t>
  </si>
  <si>
    <t>Check</t>
  </si>
  <si>
    <t>SP #</t>
  </si>
  <si>
    <t>Total Starts</t>
  </si>
  <si>
    <t>Opp</t>
  </si>
  <si>
    <t>Date</t>
  </si>
  <si>
    <t>IND</t>
  </si>
  <si>
    <t>MID</t>
  </si>
  <si>
    <t>MED</t>
  </si>
  <si>
    <t>NEW</t>
  </si>
  <si>
    <t>OSH</t>
  </si>
  <si>
    <t>BCW</t>
  </si>
  <si>
    <t>Opposing SP</t>
  </si>
  <si>
    <t>X</t>
  </si>
  <si>
    <t>Z</t>
  </si>
  <si>
    <t>W</t>
  </si>
  <si>
    <t>Y</t>
  </si>
  <si>
    <t>H</t>
  </si>
  <si>
    <t>XY</t>
  </si>
  <si>
    <t>Average Grade</t>
  </si>
  <si>
    <t>Left Handers</t>
  </si>
  <si>
    <t>Right Handers</t>
  </si>
  <si>
    <t>Z starters</t>
  </si>
  <si>
    <t>W starters</t>
  </si>
  <si>
    <t>L starters</t>
  </si>
  <si>
    <t>M starters</t>
  </si>
  <si>
    <t>@</t>
  </si>
  <si>
    <t>BEA</t>
  </si>
  <si>
    <t>BAN</t>
  </si>
  <si>
    <t>BCB</t>
  </si>
  <si>
    <t>RC</t>
  </si>
  <si>
    <t>G</t>
  </si>
  <si>
    <t>M</t>
  </si>
  <si>
    <t>ACA</t>
  </si>
  <si>
    <t>RIV</t>
  </si>
  <si>
    <t>BHB</t>
  </si>
  <si>
    <t>MIL</t>
  </si>
  <si>
    <t>LVT</t>
  </si>
  <si>
    <t>PEN</t>
  </si>
  <si>
    <t>MAT</t>
  </si>
  <si>
    <t>SUN</t>
  </si>
  <si>
    <t>ROS</t>
  </si>
  <si>
    <t>OTT</t>
  </si>
  <si>
    <t>NAS</t>
  </si>
  <si>
    <t>OAK</t>
  </si>
  <si>
    <t>MAD</t>
  </si>
  <si>
    <t>TUG</t>
  </si>
  <si>
    <t>MPG</t>
  </si>
  <si>
    <t>CAN</t>
  </si>
  <si>
    <t>TTT</t>
  </si>
  <si>
    <t>GRZ</t>
  </si>
  <si>
    <t>KERSHAW, Clayton</t>
  </si>
  <si>
    <t>IWAKUMA, Hisashi</t>
  </si>
  <si>
    <t>LACKEY, John</t>
  </si>
  <si>
    <t>RODRIGUEZ, Wandy</t>
  </si>
  <si>
    <t>KENDRICK, Kyle</t>
  </si>
  <si>
    <t>VOGELSONG, Ryan</t>
  </si>
  <si>
    <t>Rec#</t>
  </si>
  <si>
    <t>Last</t>
  </si>
  <si>
    <t>First</t>
  </si>
  <si>
    <t>MLB Team</t>
  </si>
  <si>
    <t>UFO</t>
  </si>
  <si>
    <t>Age</t>
  </si>
  <si>
    <t>Pos</t>
  </si>
  <si>
    <t>Def</t>
  </si>
  <si>
    <t>B</t>
  </si>
  <si>
    <t>T</t>
  </si>
  <si>
    <t>St-IP</t>
  </si>
  <si>
    <t>Rf-IP</t>
  </si>
  <si>
    <t>St-Gr</t>
  </si>
  <si>
    <t>Rf-Gr</t>
  </si>
  <si>
    <t xml:space="preserve"> K</t>
  </si>
  <si>
    <t>BB</t>
  </si>
  <si>
    <t>HR</t>
  </si>
  <si>
    <t>BK</t>
  </si>
  <si>
    <t>WP</t>
  </si>
  <si>
    <t>HB</t>
  </si>
  <si>
    <t>MtF</t>
  </si>
  <si>
    <t>Positions</t>
  </si>
  <si>
    <t xml:space="preserve"> Alfredo</t>
  </si>
  <si>
    <t>BOS</t>
  </si>
  <si>
    <t>-</t>
  </si>
  <si>
    <t>30</t>
  </si>
  <si>
    <t>SG</t>
  </si>
  <si>
    <t xml:space="preserve"> 1 </t>
  </si>
  <si>
    <t xml:space="preserve"> 6 </t>
  </si>
  <si>
    <t xml:space="preserve"> </t>
  </si>
  <si>
    <t xml:space="preserve"> 0 </t>
  </si>
  <si>
    <t>0</t>
  </si>
  <si>
    <t>P-1</t>
  </si>
  <si>
    <t>ALBERS</t>
  </si>
  <si>
    <t xml:space="preserve"> Andrew</t>
  </si>
  <si>
    <t>MIN</t>
  </si>
  <si>
    <t>27</t>
  </si>
  <si>
    <t>SP</t>
  </si>
  <si>
    <t xml:space="preserve"> 2 </t>
  </si>
  <si>
    <t>P-2</t>
  </si>
  <si>
    <t>ALVAREZ, Henderson</t>
  </si>
  <si>
    <t>ALVAREZ</t>
  </si>
  <si>
    <t xml:space="preserve"> Henderson</t>
  </si>
  <si>
    <t>MIA</t>
  </si>
  <si>
    <t>23</t>
  </si>
  <si>
    <t xml:space="preserve"> 3 </t>
  </si>
  <si>
    <t>ALVAREZ, Jose</t>
  </si>
  <si>
    <t xml:space="preserve"> Jose</t>
  </si>
  <si>
    <t>DET</t>
  </si>
  <si>
    <t>24</t>
  </si>
  <si>
    <t>2/3*</t>
  </si>
  <si>
    <t>ANDERSON, Brett</t>
  </si>
  <si>
    <t>ANDERSON</t>
  </si>
  <si>
    <t xml:space="preserve"> Brett</t>
  </si>
  <si>
    <t>25</t>
  </si>
  <si>
    <t xml:space="preserve"> 4 </t>
  </si>
  <si>
    <t>3/4*</t>
  </si>
  <si>
    <t>ARCHER, Chris</t>
  </si>
  <si>
    <t>ARCHER</t>
  </si>
  <si>
    <t xml:space="preserve"> Chris</t>
  </si>
  <si>
    <t>TBR</t>
  </si>
  <si>
    <t>ARRIETA, Jake</t>
  </si>
  <si>
    <t>ARRIETA</t>
  </si>
  <si>
    <t xml:space="preserve"> Jake</t>
  </si>
  <si>
    <t>TOT</t>
  </si>
  <si>
    <t>CIN</t>
  </si>
  <si>
    <t>36</t>
  </si>
  <si>
    <t>AXELROD, Dylan</t>
  </si>
  <si>
    <t>AXELROD</t>
  </si>
  <si>
    <t xml:space="preserve"> Dylan</t>
  </si>
  <si>
    <t>CHW</t>
  </si>
  <si>
    <t>3/3*</t>
  </si>
  <si>
    <t>BAILEY, Homer</t>
  </si>
  <si>
    <t>BAILEY</t>
  </si>
  <si>
    <t xml:space="preserve"> Homer</t>
  </si>
  <si>
    <t>BAKER, Scott</t>
  </si>
  <si>
    <t>BAKER</t>
  </si>
  <si>
    <t xml:space="preserve"> Scott</t>
  </si>
  <si>
    <t>CHC</t>
  </si>
  <si>
    <t>31</t>
  </si>
  <si>
    <t>BAUER, Trevor</t>
  </si>
  <si>
    <t>BAUER</t>
  </si>
  <si>
    <t xml:space="preserve"> Trevor</t>
  </si>
  <si>
    <t>CLE</t>
  </si>
  <si>
    <t>22</t>
  </si>
  <si>
    <t xml:space="preserve"> Brandon</t>
  </si>
  <si>
    <t>ATL</t>
  </si>
  <si>
    <t>26</t>
  </si>
  <si>
    <t xml:space="preserve"> Blake</t>
  </si>
  <si>
    <t>SEA</t>
  </si>
  <si>
    <t xml:space="preserve"> Josh</t>
  </si>
  <si>
    <t>LAD</t>
  </si>
  <si>
    <t>33</t>
  </si>
  <si>
    <t xml:space="preserve"> Erik</t>
  </si>
  <si>
    <t>HOU</t>
  </si>
  <si>
    <t>34</t>
  </si>
  <si>
    <t>6/6*</t>
  </si>
  <si>
    <t>BETTIS, Chad</t>
  </si>
  <si>
    <t>BETTIS</t>
  </si>
  <si>
    <t xml:space="preserve"> Chad</t>
  </si>
  <si>
    <t>COL</t>
  </si>
  <si>
    <t>28</t>
  </si>
  <si>
    <t xml:space="preserve"> Travis</t>
  </si>
  <si>
    <t xml:space="preserve"> 5 </t>
  </si>
  <si>
    <t>4/5*</t>
  </si>
  <si>
    <t xml:space="preserve"> Joe</t>
  </si>
  <si>
    <t>LAA</t>
  </si>
  <si>
    <t>YES</t>
  </si>
  <si>
    <t>32</t>
  </si>
  <si>
    <t>2/1*</t>
  </si>
  <si>
    <t xml:space="preserve"> Jeremy</t>
  </si>
  <si>
    <t>4/4*</t>
  </si>
  <si>
    <t>BRITTON, Zach</t>
  </si>
  <si>
    <t>BRITTON</t>
  </si>
  <si>
    <t xml:space="preserve"> Zach</t>
  </si>
  <si>
    <t>BAL</t>
  </si>
  <si>
    <t>BUCHHOLZ, Clay</t>
  </si>
  <si>
    <t>BUCHHOLZ</t>
  </si>
  <si>
    <t xml:space="preserve"> Clay</t>
  </si>
  <si>
    <t>29</t>
  </si>
  <si>
    <t>BUEHRLE, Mark</t>
  </si>
  <si>
    <t>BUEHRLE</t>
  </si>
  <si>
    <t xml:space="preserve"> Mark</t>
  </si>
  <si>
    <t>TOR</t>
  </si>
  <si>
    <t>BUMGARNER, Madison</t>
  </si>
  <si>
    <t>BUMGARNER</t>
  </si>
  <si>
    <t xml:space="preserve"> Madison</t>
  </si>
  <si>
    <t>SFG</t>
  </si>
  <si>
    <t>BURNETT, A.J.</t>
  </si>
  <si>
    <t>BURNETT</t>
  </si>
  <si>
    <t xml:space="preserve"> A.J.</t>
  </si>
  <si>
    <t>PIT</t>
  </si>
  <si>
    <t>CAHILL, Trevor</t>
  </si>
  <si>
    <t>CAHILL</t>
  </si>
  <si>
    <t>ARI</t>
  </si>
  <si>
    <t>8/8*</t>
  </si>
  <si>
    <t>CAIN, Matt</t>
  </si>
  <si>
    <t>CAIN</t>
  </si>
  <si>
    <t xml:space="preserve"> Matt</t>
  </si>
  <si>
    <t>CAPUANO, Chris</t>
  </si>
  <si>
    <t>CAPUANO</t>
  </si>
  <si>
    <t>CARRASCO, Carlos</t>
  </si>
  <si>
    <t>CARRASCO</t>
  </si>
  <si>
    <t xml:space="preserve"> Carlos</t>
  </si>
  <si>
    <t>CASHNER, Andrew</t>
  </si>
  <si>
    <t>CASHNER</t>
  </si>
  <si>
    <t>SDP</t>
  </si>
  <si>
    <t>12/12*</t>
  </si>
  <si>
    <t>CHACIN, Jhoulys</t>
  </si>
  <si>
    <t>CHACIN</t>
  </si>
  <si>
    <t xml:space="preserve"> Jhoulys</t>
  </si>
  <si>
    <t xml:space="preserve"> Tyler</t>
  </si>
  <si>
    <t>CHEN, Bruce</t>
  </si>
  <si>
    <t>CHEN</t>
  </si>
  <si>
    <t xml:space="preserve"> Bruce</t>
  </si>
  <si>
    <t>KCR</t>
  </si>
  <si>
    <t xml:space="preserve"> 10 </t>
  </si>
  <si>
    <t>CHEN, Wei-Yin</t>
  </si>
  <si>
    <t xml:space="preserve"> Wei-Yin</t>
  </si>
  <si>
    <t>CINGRANI, Tony</t>
  </si>
  <si>
    <t>CINGRANI</t>
  </si>
  <si>
    <t xml:space="preserve"> Tony</t>
  </si>
  <si>
    <t>13/13*</t>
  </si>
  <si>
    <t>PHI</t>
  </si>
  <si>
    <t xml:space="preserve"> Alex</t>
  </si>
  <si>
    <t>COLE, Gerrit</t>
  </si>
  <si>
    <t>COLE</t>
  </si>
  <si>
    <t xml:space="preserve"> Gerrit</t>
  </si>
  <si>
    <t>COLOME, Alex</t>
  </si>
  <si>
    <t>COLOME</t>
  </si>
  <si>
    <t>COLON, Bartolo</t>
  </si>
  <si>
    <t>COLON</t>
  </si>
  <si>
    <t xml:space="preserve"> Bartolo</t>
  </si>
  <si>
    <t>CORREIA, Kevin</t>
  </si>
  <si>
    <t>CORREIA</t>
  </si>
  <si>
    <t xml:space="preserve"> Kevin</t>
  </si>
  <si>
    <t>COSART, Jarred</t>
  </si>
  <si>
    <t>COSART</t>
  </si>
  <si>
    <t xml:space="preserve"> Jarred</t>
  </si>
  <si>
    <t>CUETO, Johnny</t>
  </si>
  <si>
    <t>CUETO</t>
  </si>
  <si>
    <t xml:space="preserve"> Johnny</t>
  </si>
  <si>
    <t>14/14*</t>
  </si>
  <si>
    <t>DANKS, John</t>
  </si>
  <si>
    <t>DANKS</t>
  </si>
  <si>
    <t xml:space="preserve"> John</t>
  </si>
  <si>
    <t>TEX</t>
  </si>
  <si>
    <t>DAVIS, Wade</t>
  </si>
  <si>
    <t>DAVIS</t>
  </si>
  <si>
    <t xml:space="preserve"> Wade</t>
  </si>
  <si>
    <t xml:space="preserve"> Jorge</t>
  </si>
  <si>
    <t xml:space="preserve"> Cole</t>
  </si>
  <si>
    <t>1/1*</t>
  </si>
  <si>
    <t>DEDUNO, Samuel</t>
  </si>
  <si>
    <t>DEDUNO</t>
  </si>
  <si>
    <t xml:space="preserve"> Samuel</t>
  </si>
  <si>
    <t>DELGADO, Randall</t>
  </si>
  <si>
    <t>DELGADO</t>
  </si>
  <si>
    <t xml:space="preserve"> Randall</t>
  </si>
  <si>
    <t xml:space="preserve"> Ryan</t>
  </si>
  <si>
    <t>DETWILER, Ross</t>
  </si>
  <si>
    <t>DETWILER</t>
  </si>
  <si>
    <t xml:space="preserve"> Ross</t>
  </si>
  <si>
    <t>WSN</t>
  </si>
  <si>
    <t>DICKEY, R.A.</t>
  </si>
  <si>
    <t>DICKEY</t>
  </si>
  <si>
    <t xml:space="preserve"> R.A.</t>
  </si>
  <si>
    <t>38</t>
  </si>
  <si>
    <t>DOUBRONT, Felix</t>
  </si>
  <si>
    <t>DOUBRONT</t>
  </si>
  <si>
    <t xml:space="preserve"> Felix</t>
  </si>
  <si>
    <t>DUFFY, Danny</t>
  </si>
  <si>
    <t>DUFFY</t>
  </si>
  <si>
    <t xml:space="preserve"> Danny</t>
  </si>
  <si>
    <t>DUKE, Zach</t>
  </si>
  <si>
    <t>DUKE</t>
  </si>
  <si>
    <t>DYSON, Sam</t>
  </si>
  <si>
    <t>DYSON</t>
  </si>
  <si>
    <t xml:space="preserve"> Sam</t>
  </si>
  <si>
    <t>EOVALDI, Nate</t>
  </si>
  <si>
    <t>EOVALDI</t>
  </si>
  <si>
    <t xml:space="preserve"> Nate</t>
  </si>
  <si>
    <t>ERLIN, Robbie</t>
  </si>
  <si>
    <t>ERLIN</t>
  </si>
  <si>
    <t xml:space="preserve"> Robbie</t>
  </si>
  <si>
    <t>5/5*</t>
  </si>
  <si>
    <t>ESTRADA, Marco</t>
  </si>
  <si>
    <t>ESTRADA</t>
  </si>
  <si>
    <t xml:space="preserve"> Marco</t>
  </si>
  <si>
    <t>FELDMAN, Scott</t>
  </si>
  <si>
    <t>FELDMAN</t>
  </si>
  <si>
    <t>FERNANDEZ, Jose</t>
  </si>
  <si>
    <t>FERNANDEZ</t>
  </si>
  <si>
    <t>20</t>
  </si>
  <si>
    <t>FIERS, Michael</t>
  </si>
  <si>
    <t>FIERS</t>
  </si>
  <si>
    <t xml:space="preserve"> Michael</t>
  </si>
  <si>
    <t xml:space="preserve"> Stephen</t>
  </si>
  <si>
    <t>FISTER, Doug</t>
  </si>
  <si>
    <t>FISTER</t>
  </si>
  <si>
    <t xml:space="preserve"> Doug</t>
  </si>
  <si>
    <t>10/10*</t>
  </si>
  <si>
    <t>FLOYD, Gavin</t>
  </si>
  <si>
    <t>FLOYD</t>
  </si>
  <si>
    <t xml:space="preserve"> Gavin</t>
  </si>
  <si>
    <t xml:space="preserve"> Brian</t>
  </si>
  <si>
    <t>FRANCIS, Jeff</t>
  </si>
  <si>
    <t>FRANCIS</t>
  </si>
  <si>
    <t xml:space="preserve"> Jeff</t>
  </si>
  <si>
    <t>GALLARDO, Yovani</t>
  </si>
  <si>
    <t>GALLARDO</t>
  </si>
  <si>
    <t xml:space="preserve"> Yovani</t>
  </si>
  <si>
    <t>GARCIA</t>
  </si>
  <si>
    <t>GARCIA, Jaime</t>
  </si>
  <si>
    <t xml:space="preserve"> Jaime</t>
  </si>
  <si>
    <t>STL</t>
  </si>
  <si>
    <t xml:space="preserve"> Jon</t>
  </si>
  <si>
    <t>GARZA, Matt</t>
  </si>
  <si>
    <t>GARZA</t>
  </si>
  <si>
    <t xml:space="preserve"> 13 </t>
  </si>
  <si>
    <t>GAUSMAN, Kevin</t>
  </si>
  <si>
    <t>GAUSMAN</t>
  </si>
  <si>
    <t>GEE, Dillon</t>
  </si>
  <si>
    <t>GEE</t>
  </si>
  <si>
    <t xml:space="preserve"> Dillon</t>
  </si>
  <si>
    <t>NYM</t>
  </si>
  <si>
    <t>GIBSON, Kyle</t>
  </si>
  <si>
    <t>GIBSON</t>
  </si>
  <si>
    <t xml:space="preserve"> Kyle</t>
  </si>
  <si>
    <t>GOMEZ, Jeanmar</t>
  </si>
  <si>
    <t>GOMEZ</t>
  </si>
  <si>
    <t xml:space="preserve"> Jeanmar</t>
  </si>
  <si>
    <t>GONZALEZ, Gio</t>
  </si>
  <si>
    <t>GONZALEZ</t>
  </si>
  <si>
    <t xml:space="preserve"> Gio</t>
  </si>
  <si>
    <t>GONZALEZ, Miguel</t>
  </si>
  <si>
    <t xml:space="preserve"> Miguel</t>
  </si>
  <si>
    <t>9/9*</t>
  </si>
  <si>
    <t>GORZELANNY, Tom</t>
  </si>
  <si>
    <t>GORZELANNY</t>
  </si>
  <si>
    <t xml:space="preserve"> Tom</t>
  </si>
  <si>
    <t xml:space="preserve"> 8 </t>
  </si>
  <si>
    <t>GRAY, Sonny</t>
  </si>
  <si>
    <t>GRAY</t>
  </si>
  <si>
    <t xml:space="preserve"> Sonny</t>
  </si>
  <si>
    <t>GREINKE, Zack</t>
  </si>
  <si>
    <t>GREINKE</t>
  </si>
  <si>
    <t xml:space="preserve"> Zack</t>
  </si>
  <si>
    <t>GRIMM, Justin</t>
  </si>
  <si>
    <t>GRIMM</t>
  </si>
  <si>
    <t xml:space="preserve"> Justin</t>
  </si>
  <si>
    <t>GUTHRIE, Jeremy</t>
  </si>
  <si>
    <t>GUTHRIE</t>
  </si>
  <si>
    <t>HALE, David</t>
  </si>
  <si>
    <t>HALE</t>
  </si>
  <si>
    <t xml:space="preserve"> David</t>
  </si>
  <si>
    <t xml:space="preserve"> Roy</t>
  </si>
  <si>
    <t>HAMELS, Cole</t>
  </si>
  <si>
    <t>HAMELS</t>
  </si>
  <si>
    <t>HAMMEL, Jason</t>
  </si>
  <si>
    <t>HAMMEL</t>
  </si>
  <si>
    <t xml:space="preserve"> Jason</t>
  </si>
  <si>
    <t>HAND, Brad</t>
  </si>
  <si>
    <t>HAND</t>
  </si>
  <si>
    <t xml:space="preserve"> Brad</t>
  </si>
  <si>
    <t xml:space="preserve"> 9 </t>
  </si>
  <si>
    <t xml:space="preserve"> Tommy</t>
  </si>
  <si>
    <t>HAPP, J.A.</t>
  </si>
  <si>
    <t>HAPP</t>
  </si>
  <si>
    <t xml:space="preserve"> J.A.</t>
  </si>
  <si>
    <t>HARANG, Aaron</t>
  </si>
  <si>
    <t>HARANG</t>
  </si>
  <si>
    <t xml:space="preserve"> Aaron</t>
  </si>
  <si>
    <t>35</t>
  </si>
  <si>
    <t>HAREN, Dan</t>
  </si>
  <si>
    <t>HAREN</t>
  </si>
  <si>
    <t xml:space="preserve"> Dan</t>
  </si>
  <si>
    <t xml:space="preserve"> Lucas</t>
  </si>
  <si>
    <t>HARRISON, Matt</t>
  </si>
  <si>
    <t>HARRISON</t>
  </si>
  <si>
    <t>HELLICKSON, Jeremy</t>
  </si>
  <si>
    <t>HELLICKSON</t>
  </si>
  <si>
    <t>HENDRIKS, Liam</t>
  </si>
  <si>
    <t>HENDRIKS</t>
  </si>
  <si>
    <t xml:space="preserve"> Liam</t>
  </si>
  <si>
    <t>HERNANDEZ, Felix</t>
  </si>
  <si>
    <t>HERNANDEZ</t>
  </si>
  <si>
    <t xml:space="preserve"> Pedro</t>
  </si>
  <si>
    <t>HERNANDEZ, Roberto</t>
  </si>
  <si>
    <t xml:space="preserve"> Roberto</t>
  </si>
  <si>
    <t>HOLLAND, Derek</t>
  </si>
  <si>
    <t>HOLLAND</t>
  </si>
  <si>
    <t xml:space="preserve"> Derek</t>
  </si>
  <si>
    <t>HOLMBERG, David</t>
  </si>
  <si>
    <t>HOLMBERG</t>
  </si>
  <si>
    <t>21</t>
  </si>
  <si>
    <t>HUDSON, Tim</t>
  </si>
  <si>
    <t>HUDSON</t>
  </si>
  <si>
    <t xml:space="preserve"> Tim</t>
  </si>
  <si>
    <t>37</t>
  </si>
  <si>
    <t>HUFF, David</t>
  </si>
  <si>
    <t>HUFF</t>
  </si>
  <si>
    <t>HUGHES, Phil</t>
  </si>
  <si>
    <t>HUGHES</t>
  </si>
  <si>
    <t xml:space="preserve"> Phil</t>
  </si>
  <si>
    <t>NYY</t>
  </si>
  <si>
    <t>IWAKUMA</t>
  </si>
  <si>
    <t xml:space="preserve"> Hisashi</t>
  </si>
  <si>
    <t>JACKSON, Edwin</t>
  </si>
  <si>
    <t>JACKSON</t>
  </si>
  <si>
    <t xml:space="preserve"> Edwin</t>
  </si>
  <si>
    <t>JENKINS, Chad</t>
  </si>
  <si>
    <t>JENKINS</t>
  </si>
  <si>
    <t>JIMENEZ, Ubaldo</t>
  </si>
  <si>
    <t>JIMENEZ</t>
  </si>
  <si>
    <t xml:space="preserve"> Ubaldo</t>
  </si>
  <si>
    <t>JOHNSON, Erik</t>
  </si>
  <si>
    <t>JOHNSON</t>
  </si>
  <si>
    <t xml:space="preserve"> Kris</t>
  </si>
  <si>
    <t xml:space="preserve"> Steve</t>
  </si>
  <si>
    <t>JORDAN, Taylor</t>
  </si>
  <si>
    <t>JORDAN</t>
  </si>
  <si>
    <t xml:space="preserve"> Taylor</t>
  </si>
  <si>
    <t>KARNS, Nathan</t>
  </si>
  <si>
    <t>KARNS</t>
  </si>
  <si>
    <t xml:space="preserve"> Nathan</t>
  </si>
  <si>
    <t>KAZMIR, Scott</t>
  </si>
  <si>
    <t>KAZMIR</t>
  </si>
  <si>
    <t>KELLY, Joe</t>
  </si>
  <si>
    <t>KELLY</t>
  </si>
  <si>
    <t xml:space="preserve"> 14 </t>
  </si>
  <si>
    <t>KENDRICK</t>
  </si>
  <si>
    <t>KENNEDY, Ian</t>
  </si>
  <si>
    <t>KENNEDY</t>
  </si>
  <si>
    <t xml:space="preserve"> Ian</t>
  </si>
  <si>
    <t>KERSHAW</t>
  </si>
  <si>
    <t xml:space="preserve"> Clayton</t>
  </si>
  <si>
    <t>KEUCHEL, Dallas</t>
  </si>
  <si>
    <t>KEUCHEL</t>
  </si>
  <si>
    <t xml:space="preserve"> Dallas</t>
  </si>
  <si>
    <t xml:space="preserve"> Mike</t>
  </si>
  <si>
    <t>KLUBER, Corey</t>
  </si>
  <si>
    <t>KLUBER</t>
  </si>
  <si>
    <t xml:space="preserve"> Corey</t>
  </si>
  <si>
    <t>KOEHLER, Tom</t>
  </si>
  <si>
    <t>KOEHLER</t>
  </si>
  <si>
    <t>LACKEY</t>
  </si>
  <si>
    <t>LATOS, Mat</t>
  </si>
  <si>
    <t>LATOS</t>
  </si>
  <si>
    <t xml:space="preserve"> Mat</t>
  </si>
  <si>
    <t>LEAKE, Mike</t>
  </si>
  <si>
    <t>LEAKE</t>
  </si>
  <si>
    <t>LEE</t>
  </si>
  <si>
    <t xml:space="preserve"> Charlie</t>
  </si>
  <si>
    <t>LESTER, Jon</t>
  </si>
  <si>
    <t>LESTER</t>
  </si>
  <si>
    <t>LINCECUM, Tim</t>
  </si>
  <si>
    <t>LINCECUM</t>
  </si>
  <si>
    <t>LIRIANO, Francisco</t>
  </si>
  <si>
    <t>LIRIANO</t>
  </si>
  <si>
    <t xml:space="preserve"> Francisco</t>
  </si>
  <si>
    <t>LOCKE, Jeff</t>
  </si>
  <si>
    <t>LOCKE</t>
  </si>
  <si>
    <t>LOHSE, Kyle</t>
  </si>
  <si>
    <t>LOHSE</t>
  </si>
  <si>
    <t>LYLES, Jordan</t>
  </si>
  <si>
    <t>LYLES</t>
  </si>
  <si>
    <t xml:space="preserve"> Jordan</t>
  </si>
  <si>
    <t>LYNN, Lance</t>
  </si>
  <si>
    <t>LYNN</t>
  </si>
  <si>
    <t xml:space="preserve"> Lance</t>
  </si>
  <si>
    <t>LYONS, Tyler</t>
  </si>
  <si>
    <t>LYONS</t>
  </si>
  <si>
    <t>MANSHIP, Jeff</t>
  </si>
  <si>
    <t>MANSHIP</t>
  </si>
  <si>
    <t>MARTIN</t>
  </si>
  <si>
    <t>MARTINEZ, Carlos</t>
  </si>
  <si>
    <t>MARTINEZ</t>
  </si>
  <si>
    <t>MASTERSON, Justin</t>
  </si>
  <si>
    <t>MASTERSON</t>
  </si>
  <si>
    <t>MAURER, Brandon</t>
  </si>
  <si>
    <t>MAURER</t>
  </si>
  <si>
    <t>McALLISTER, Zach</t>
  </si>
  <si>
    <t>McCARTHY, Brandon</t>
  </si>
  <si>
    <t xml:space="preserve"> James</t>
  </si>
  <si>
    <t xml:space="preserve"> T.J.</t>
  </si>
  <si>
    <t>McHUGH, Collin</t>
  </si>
  <si>
    <t xml:space="preserve"> Collin</t>
  </si>
  <si>
    <t>MEJIA, Jenrry</t>
  </si>
  <si>
    <t>MEJIA</t>
  </si>
  <si>
    <t xml:space="preserve"> Jenrry</t>
  </si>
  <si>
    <t xml:space="preserve"> Luis</t>
  </si>
  <si>
    <t>MILEY, Wade</t>
  </si>
  <si>
    <t>MILEY</t>
  </si>
  <si>
    <t>MILLER, Shelby</t>
  </si>
  <si>
    <t>MILLER</t>
  </si>
  <si>
    <t xml:space="preserve"> Shelby</t>
  </si>
  <si>
    <t>MILONE, Tommy</t>
  </si>
  <si>
    <t>MILONE</t>
  </si>
  <si>
    <t>MOORE, Matt</t>
  </si>
  <si>
    <t>MOORE</t>
  </si>
  <si>
    <t>MORALES, Franklin</t>
  </si>
  <si>
    <t>MORALES</t>
  </si>
  <si>
    <t xml:space="preserve"> Franklin</t>
  </si>
  <si>
    <t>MORROW, Brandon</t>
  </si>
  <si>
    <t>MORROW</t>
  </si>
  <si>
    <t>MORTON, Charlie</t>
  </si>
  <si>
    <t>MORTON</t>
  </si>
  <si>
    <t>NELSON, Jimmy</t>
  </si>
  <si>
    <t>NELSON</t>
  </si>
  <si>
    <t xml:space="preserve"> Jimmy</t>
  </si>
  <si>
    <t>NICASIO, Juan</t>
  </si>
  <si>
    <t>NICASIO</t>
  </si>
  <si>
    <t xml:space="preserve"> Juan</t>
  </si>
  <si>
    <t>NIESE, Jonathon</t>
  </si>
  <si>
    <t>NIESE</t>
  </si>
  <si>
    <t xml:space="preserve"> Jonathon</t>
  </si>
  <si>
    <t>NOESI, Hector</t>
  </si>
  <si>
    <t>NOESI</t>
  </si>
  <si>
    <t xml:space="preserve"> Hector</t>
  </si>
  <si>
    <t>NOLASCO, Ricky</t>
  </si>
  <si>
    <t>NOLASCO</t>
  </si>
  <si>
    <t xml:space="preserve"> Ricky</t>
  </si>
  <si>
    <t>NOLIN, Sean</t>
  </si>
  <si>
    <t>NOLIN</t>
  </si>
  <si>
    <t xml:space="preserve"> Sean</t>
  </si>
  <si>
    <t>NORRIS, Bud</t>
  </si>
  <si>
    <t>NORRIS</t>
  </si>
  <si>
    <t xml:space="preserve"> Bud</t>
  </si>
  <si>
    <t>NOVA, Ivan</t>
  </si>
  <si>
    <t>NOVA</t>
  </si>
  <si>
    <t xml:space="preserve"> Ivan</t>
  </si>
  <si>
    <t>NUNO, Vidal</t>
  </si>
  <si>
    <t>NUNO</t>
  </si>
  <si>
    <t xml:space="preserve"> Vidal</t>
  </si>
  <si>
    <t>OBERHOLTZER, Brett</t>
  </si>
  <si>
    <t>OBERHOLTZER</t>
  </si>
  <si>
    <t>ODORIZZI, Jake</t>
  </si>
  <si>
    <t>ODORIZZI</t>
  </si>
  <si>
    <t>OGANDO, Alexi</t>
  </si>
  <si>
    <t>OGANDO</t>
  </si>
  <si>
    <t xml:space="preserve"> Alexi</t>
  </si>
  <si>
    <t>11/11*</t>
  </si>
  <si>
    <t>O'SULLIVAN, Sean</t>
  </si>
  <si>
    <t>O'SULLIVAN</t>
  </si>
  <si>
    <t>PAXTON, James</t>
  </si>
  <si>
    <t>PAXTON</t>
  </si>
  <si>
    <t>PEACOCK, Brad</t>
  </si>
  <si>
    <t>PEACOCK</t>
  </si>
  <si>
    <t>7/7*</t>
  </si>
  <si>
    <t>PEAVY, Jake</t>
  </si>
  <si>
    <t>PEAVY</t>
  </si>
  <si>
    <t>PELFREY, Mike</t>
  </si>
  <si>
    <t>PELFREY</t>
  </si>
  <si>
    <t>PERALTA, Wily</t>
  </si>
  <si>
    <t>PERALTA</t>
  </si>
  <si>
    <t xml:space="preserve"> Wily</t>
  </si>
  <si>
    <t>PEREZ, Martin</t>
  </si>
  <si>
    <t>PEREZ</t>
  </si>
  <si>
    <t xml:space="preserve"> Martin</t>
  </si>
  <si>
    <t>PETIT, Yusmeiro</t>
  </si>
  <si>
    <t>PETIT</t>
  </si>
  <si>
    <t xml:space="preserve"> Yusmeiro</t>
  </si>
  <si>
    <t xml:space="preserve"> Jonathan</t>
  </si>
  <si>
    <t>PHELPS, David</t>
  </si>
  <si>
    <t>PHELPS</t>
  </si>
  <si>
    <t>POMERANZ, Drew</t>
  </si>
  <si>
    <t>POMERANZ</t>
  </si>
  <si>
    <t xml:space="preserve"> Drew</t>
  </si>
  <si>
    <t>PORCELLO, Rick</t>
  </si>
  <si>
    <t>PORCELLO</t>
  </si>
  <si>
    <t xml:space="preserve"> Rick</t>
  </si>
  <si>
    <t>PRICE, David</t>
  </si>
  <si>
    <t>PRICE</t>
  </si>
  <si>
    <t>QUINTANA, Jose</t>
  </si>
  <si>
    <t>QUINTANA</t>
  </si>
  <si>
    <t>RAMIREZ, Erasmo</t>
  </si>
  <si>
    <t>RAMIREZ</t>
  </si>
  <si>
    <t xml:space="preserve"> Erasmo</t>
  </si>
  <si>
    <t>REDMOND, Todd</t>
  </si>
  <si>
    <t>REDMOND</t>
  </si>
  <si>
    <t xml:space="preserve"> Todd</t>
  </si>
  <si>
    <t xml:space="preserve"> Greg</t>
  </si>
  <si>
    <t>RICHARDS, Garrett</t>
  </si>
  <si>
    <t>RICHARDS</t>
  </si>
  <si>
    <t xml:space="preserve"> Garrett</t>
  </si>
  <si>
    <t>RIENZO, Andre</t>
  </si>
  <si>
    <t>RIENZO</t>
  </si>
  <si>
    <t xml:space="preserve"> Andre</t>
  </si>
  <si>
    <t>ROARK, Tanner</t>
  </si>
  <si>
    <t>ROARK</t>
  </si>
  <si>
    <t xml:space="preserve"> Tanner</t>
  </si>
  <si>
    <t>RODRIGUEZ</t>
  </si>
  <si>
    <t xml:space="preserve"> Wandy</t>
  </si>
  <si>
    <t>ROGERS, Esmil</t>
  </si>
  <si>
    <t>ROGERS</t>
  </si>
  <si>
    <t xml:space="preserve"> Esmil</t>
  </si>
  <si>
    <t>ROSS, Tyson</t>
  </si>
  <si>
    <t>ROSS</t>
  </si>
  <si>
    <t xml:space="preserve"> Tyson</t>
  </si>
  <si>
    <t xml:space="preserve"> 12 </t>
  </si>
  <si>
    <t>RUSIN, Chris</t>
  </si>
  <si>
    <t>RUSIN</t>
  </si>
  <si>
    <t>SABATHIA, C.C.</t>
  </si>
  <si>
    <t>SABATHIA</t>
  </si>
  <si>
    <t xml:space="preserve"> C.C.</t>
  </si>
  <si>
    <t>SALAZAR, Danny</t>
  </si>
  <si>
    <t>SALAZAR</t>
  </si>
  <si>
    <t>SALE, Chris</t>
  </si>
  <si>
    <t>SALE</t>
  </si>
  <si>
    <t>SAMARDZIJA, Jeff</t>
  </si>
  <si>
    <t>SAMARDZIJA</t>
  </si>
  <si>
    <t>SANCHEZ, Anibal</t>
  </si>
  <si>
    <t>SANCHEZ</t>
  </si>
  <si>
    <t xml:space="preserve"> Anibal</t>
  </si>
  <si>
    <t>SANTANA, Ervin</t>
  </si>
  <si>
    <t>SANTANA</t>
  </si>
  <si>
    <t xml:space="preserve"> Ervin</t>
  </si>
  <si>
    <t>SANTIAGO, Hector</t>
  </si>
  <si>
    <t>SANTIAGO</t>
  </si>
  <si>
    <t>SCHERZER, Max</t>
  </si>
  <si>
    <t>SCHERZER</t>
  </si>
  <si>
    <t xml:space="preserve"> Max</t>
  </si>
  <si>
    <t>SHIELDS, James</t>
  </si>
  <si>
    <t>SHIELDS</t>
  </si>
  <si>
    <t>SHOEMAKER, Matt</t>
  </si>
  <si>
    <t>SHOEMAKER</t>
  </si>
  <si>
    <t>SMITH</t>
  </si>
  <si>
    <t>SMITH, Will</t>
  </si>
  <si>
    <t xml:space="preserve"> Will</t>
  </si>
  <si>
    <t xml:space="preserve"> 7 </t>
  </si>
  <si>
    <t>4/7*</t>
  </si>
  <si>
    <t>STRAILY, Dan</t>
  </si>
  <si>
    <t>STRAILY</t>
  </si>
  <si>
    <t>STRASBURG, Stephen</t>
  </si>
  <si>
    <t>STRASBURG</t>
  </si>
  <si>
    <t>STULTS, Eric</t>
  </si>
  <si>
    <t>STULTS</t>
  </si>
  <si>
    <t xml:space="preserve"> Eric</t>
  </si>
  <si>
    <t>SURKAMP, Eric</t>
  </si>
  <si>
    <t>SURKAMP</t>
  </si>
  <si>
    <t>TEHERAN, Julio</t>
  </si>
  <si>
    <t>TEHERAN</t>
  </si>
  <si>
    <t xml:space="preserve"> Julio</t>
  </si>
  <si>
    <t xml:space="preserve"> Nick</t>
  </si>
  <si>
    <t>THORNBURG, Tyler</t>
  </si>
  <si>
    <t>THORNBURG</t>
  </si>
  <si>
    <t>TILLMAN, Chris</t>
  </si>
  <si>
    <t>TILLMAN</t>
  </si>
  <si>
    <t>TORRES, Carlos</t>
  </si>
  <si>
    <t>TORRES</t>
  </si>
  <si>
    <t xml:space="preserve"> Jacob</t>
  </si>
  <si>
    <t>VARGAS, Jason</t>
  </si>
  <si>
    <t>VARGAS</t>
  </si>
  <si>
    <t>VENTURA, Yordano</t>
  </si>
  <si>
    <t>VENTURA</t>
  </si>
  <si>
    <t xml:space="preserve"> Yordano</t>
  </si>
  <si>
    <t>VERLANDER, Justin</t>
  </si>
  <si>
    <t>VERLANDER</t>
  </si>
  <si>
    <t>VILLANUEVA, Carlos</t>
  </si>
  <si>
    <t>VILLANUEVA</t>
  </si>
  <si>
    <t>VILLARREAL, Pedro</t>
  </si>
  <si>
    <t>VILLARREAL</t>
  </si>
  <si>
    <t>VOGELSONG</t>
  </si>
  <si>
    <t>VOLQUEZ, Edinson</t>
  </si>
  <si>
    <t>VOLQUEZ</t>
  </si>
  <si>
    <t xml:space="preserve"> Edinson</t>
  </si>
  <si>
    <t>WACHA, Michael</t>
  </si>
  <si>
    <t>WACHA</t>
  </si>
  <si>
    <t>WAINWRIGHT, Adam</t>
  </si>
  <si>
    <t>WAINWRIGHT</t>
  </si>
  <si>
    <t xml:space="preserve"> Adam</t>
  </si>
  <si>
    <t>WALKER, Taijuan</t>
  </si>
  <si>
    <t>WALKER</t>
  </si>
  <si>
    <t xml:space="preserve"> Taijuan</t>
  </si>
  <si>
    <t>WARREN, Adam</t>
  </si>
  <si>
    <t>WARREN</t>
  </si>
  <si>
    <t>WEAVER, Jered</t>
  </si>
  <si>
    <t>WEAVER</t>
  </si>
  <si>
    <t xml:space="preserve"> Jered</t>
  </si>
  <si>
    <t>WEBSTER, Allen</t>
  </si>
  <si>
    <t>WEBSTER</t>
  </si>
  <si>
    <t xml:space="preserve"> Allen</t>
  </si>
  <si>
    <t>WILLIAMS, Jerome</t>
  </si>
  <si>
    <t>WILLIAMS</t>
  </si>
  <si>
    <t xml:space="preserve"> Jerome</t>
  </si>
  <si>
    <t>WILSON, C.J.</t>
  </si>
  <si>
    <t>WILSON</t>
  </si>
  <si>
    <t xml:space="preserve"> C.J.</t>
  </si>
  <si>
    <t>WOLF</t>
  </si>
  <si>
    <t>WOOD, Alex</t>
  </si>
  <si>
    <t>WOOD</t>
  </si>
  <si>
    <t xml:space="preserve"> 11 </t>
  </si>
  <si>
    <t>9/11*</t>
  </si>
  <si>
    <t>WOOD, Travis</t>
  </si>
  <si>
    <t>WORLEY, Vance</t>
  </si>
  <si>
    <t>WORLEY</t>
  </si>
  <si>
    <t xml:space="preserve"> Vance</t>
  </si>
  <si>
    <t>WRIGHT</t>
  </si>
  <si>
    <t>4/13*</t>
  </si>
  <si>
    <t>WRIGHT, Steven</t>
  </si>
  <si>
    <t xml:space="preserve"> Steven</t>
  </si>
  <si>
    <t>ZIMMERMANN, Jordan</t>
  </si>
  <si>
    <t>ZIMMERMANN</t>
  </si>
  <si>
    <t>RP</t>
  </si>
  <si>
    <t>5*</t>
  </si>
  <si>
    <t>ABAD, Fernando</t>
  </si>
  <si>
    <t>ABAD</t>
  </si>
  <si>
    <t xml:space="preserve"> Fernando</t>
  </si>
  <si>
    <t>10*</t>
  </si>
  <si>
    <t>ADAMS</t>
  </si>
  <si>
    <t>8*</t>
  </si>
  <si>
    <t>AFFELDT, Jeremy</t>
  </si>
  <si>
    <t>AFFELDT</t>
  </si>
  <si>
    <t>ALBERS, Matt</t>
  </si>
  <si>
    <t>13*</t>
  </si>
  <si>
    <t>ALBURQUERQUE, Al</t>
  </si>
  <si>
    <t>ALBURQUERQUE</t>
  </si>
  <si>
    <t xml:space="preserve"> Al</t>
  </si>
  <si>
    <t>7*</t>
  </si>
  <si>
    <t>ALLEN, Cody</t>
  </si>
  <si>
    <t>ALLEN</t>
  </si>
  <si>
    <t xml:space="preserve"> Cody</t>
  </si>
  <si>
    <t>16*</t>
  </si>
  <si>
    <t>3*</t>
  </si>
  <si>
    <t xml:space="preserve"> Jairo</t>
  </si>
  <si>
    <t>1*</t>
  </si>
  <si>
    <t>ATCHISON, Scott</t>
  </si>
  <si>
    <t>ATCHISON</t>
  </si>
  <si>
    <t>AUMONT, Phillippe</t>
  </si>
  <si>
    <t>AUMONT</t>
  </si>
  <si>
    <t xml:space="preserve"> Phillippe</t>
  </si>
  <si>
    <t>AVILAN, Luis</t>
  </si>
  <si>
    <t>AVILAN</t>
  </si>
  <si>
    <t>22*</t>
  </si>
  <si>
    <t>AXFORD, John</t>
  </si>
  <si>
    <t>AXFORD</t>
  </si>
  <si>
    <t>6*</t>
  </si>
  <si>
    <t>BADENHOP, Burke</t>
  </si>
  <si>
    <t>BADENHOP</t>
  </si>
  <si>
    <t xml:space="preserve"> Burke</t>
  </si>
  <si>
    <t>9*</t>
  </si>
  <si>
    <t>BALFOUR, Grant</t>
  </si>
  <si>
    <t>BALFOUR</t>
  </si>
  <si>
    <t xml:space="preserve"> Grant</t>
  </si>
  <si>
    <t>17*</t>
  </si>
  <si>
    <t xml:space="preserve"> Daniel</t>
  </si>
  <si>
    <t>BARNES</t>
  </si>
  <si>
    <t>BASS, Anthony</t>
  </si>
  <si>
    <t>BASS</t>
  </si>
  <si>
    <t xml:space="preserve"> Anthony</t>
  </si>
  <si>
    <t>4*</t>
  </si>
  <si>
    <t>BASTARDO, Antonio</t>
  </si>
  <si>
    <t>BASTARDO</t>
  </si>
  <si>
    <t xml:space="preserve"> Antonio</t>
  </si>
  <si>
    <t>18*</t>
  </si>
  <si>
    <t>BELISARIO, Ronald</t>
  </si>
  <si>
    <t>BELISARIO</t>
  </si>
  <si>
    <t xml:space="preserve"> Ronald</t>
  </si>
  <si>
    <t>BELISLE, Matt</t>
  </si>
  <si>
    <t>BELISLE</t>
  </si>
  <si>
    <t>BELIVEAU, Jeff</t>
  </si>
  <si>
    <t>BELIVEAU</t>
  </si>
  <si>
    <t xml:space="preserve"> Heath</t>
  </si>
  <si>
    <t>BENOIT, Joaquin</t>
  </si>
  <si>
    <t>BENOIT</t>
  </si>
  <si>
    <t xml:space="preserve"> Joaquin</t>
  </si>
  <si>
    <t>19*</t>
  </si>
  <si>
    <t>BETANCES, Dellin</t>
  </si>
  <si>
    <t>BETANCES</t>
  </si>
  <si>
    <t xml:space="preserve"> Dellin</t>
  </si>
  <si>
    <t xml:space="preserve"> Rafael</t>
  </si>
  <si>
    <t>BLEVINS, Jerry</t>
  </si>
  <si>
    <t>BLEVINS</t>
  </si>
  <si>
    <t xml:space="preserve"> Jerry</t>
  </si>
  <si>
    <t>11*</t>
  </si>
  <si>
    <t xml:space="preserve"> Buddy</t>
  </si>
  <si>
    <t>BOXBERGER, Brad</t>
  </si>
  <si>
    <t>BOXBERGER</t>
  </si>
  <si>
    <t>12*</t>
  </si>
  <si>
    <t>BRACH, Brad</t>
  </si>
  <si>
    <t>BRACH</t>
  </si>
  <si>
    <t>BRESLOW, Craig</t>
  </si>
  <si>
    <t>BRESLOW</t>
  </si>
  <si>
    <t xml:space="preserve"> Craig</t>
  </si>
  <si>
    <t>20*</t>
  </si>
  <si>
    <t>BROTHERS, Rex</t>
  </si>
  <si>
    <t>BROTHERS</t>
  </si>
  <si>
    <t xml:space="preserve"> Rex</t>
  </si>
  <si>
    <t>BROXTON, Jonathan</t>
  </si>
  <si>
    <t>BROXTON</t>
  </si>
  <si>
    <t>14*</t>
  </si>
  <si>
    <t xml:space="preserve"> Cory</t>
  </si>
  <si>
    <t xml:space="preserve"> Jared</t>
  </si>
  <si>
    <t>BUTLER</t>
  </si>
  <si>
    <t xml:space="preserve"> Keith</t>
  </si>
  <si>
    <t>39</t>
  </si>
  <si>
    <t>CABRAL, Cesar</t>
  </si>
  <si>
    <t>CABRAL</t>
  </si>
  <si>
    <t xml:space="preserve"> Cesar</t>
  </si>
  <si>
    <t>CAMINERO, Arquimedes</t>
  </si>
  <si>
    <t>CAMINERO</t>
  </si>
  <si>
    <t xml:space="preserve"> Arquimedes</t>
  </si>
  <si>
    <t xml:space="preserve"> Shawn</t>
  </si>
  <si>
    <t>2*</t>
  </si>
  <si>
    <t>CAPPS, Carter</t>
  </si>
  <si>
    <t>CAPPS</t>
  </si>
  <si>
    <t xml:space="preserve"> Carter</t>
  </si>
  <si>
    <t>CARPENTER, David</t>
  </si>
  <si>
    <t>CARPENTER</t>
  </si>
  <si>
    <t>CARPENTER, David L.</t>
  </si>
  <si>
    <t xml:space="preserve"> David L.</t>
  </si>
  <si>
    <t>CASILLA, Santiago</t>
  </si>
  <si>
    <t>CASILLA</t>
  </si>
  <si>
    <t xml:space="preserve"> Santiago</t>
  </si>
  <si>
    <t>CECIL, Brett</t>
  </si>
  <si>
    <t>CECIL</t>
  </si>
  <si>
    <t>CEDENO, Xavier</t>
  </si>
  <si>
    <t>CEDENO</t>
  </si>
  <si>
    <t xml:space="preserve"> Xavier</t>
  </si>
  <si>
    <t>CHAMBERLAIN, Joba</t>
  </si>
  <si>
    <t>CHAMBERLAIN</t>
  </si>
  <si>
    <t xml:space="preserve"> Joba</t>
  </si>
  <si>
    <t>CHAPMAN, Aroldis</t>
  </si>
  <si>
    <t>CHAPMAN</t>
  </si>
  <si>
    <t xml:space="preserve"> Aroldis</t>
  </si>
  <si>
    <t>CHAPMAN, Kevin</t>
  </si>
  <si>
    <t>CHAVEZ, Jesse</t>
  </si>
  <si>
    <t>CHAVEZ</t>
  </si>
  <si>
    <t xml:space="preserve"> Jesse</t>
  </si>
  <si>
    <t>CHOATE, Randy</t>
  </si>
  <si>
    <t>CHOATE</t>
  </si>
  <si>
    <t xml:space="preserve"> Randy</t>
  </si>
  <si>
    <t>15*</t>
  </si>
  <si>
    <t>CISHEK, Steve</t>
  </si>
  <si>
    <t>CISHEK</t>
  </si>
  <si>
    <t xml:space="preserve"> Preston</t>
  </si>
  <si>
    <t>CLIPPARD, Tyler</t>
  </si>
  <si>
    <t>CLIPPARD</t>
  </si>
  <si>
    <t>COKE, Phil</t>
  </si>
  <si>
    <t>COKE</t>
  </si>
  <si>
    <t>COLEMAN, Louis</t>
  </si>
  <si>
    <t>COLEMAN</t>
  </si>
  <si>
    <t xml:space="preserve"> Louis</t>
  </si>
  <si>
    <t>23*</t>
  </si>
  <si>
    <t>COLLMENTER, Josh</t>
  </si>
  <si>
    <t>COLLMENTER</t>
  </si>
  <si>
    <t>CONTRERAS</t>
  </si>
  <si>
    <t>COOK, Ryan</t>
  </si>
  <si>
    <t>COOK</t>
  </si>
  <si>
    <t xml:space="preserve"> Manny</t>
  </si>
  <si>
    <t>COTTS, Neal</t>
  </si>
  <si>
    <t>COTTS</t>
  </si>
  <si>
    <t xml:space="preserve"> Neal</t>
  </si>
  <si>
    <t>24*</t>
  </si>
  <si>
    <t>DE LA ROSA</t>
  </si>
  <si>
    <t>DE LA ROSA, Rubby</t>
  </si>
  <si>
    <t xml:space="preserve"> Rubby</t>
  </si>
  <si>
    <t>DELABAR, Steve</t>
  </si>
  <si>
    <t>DELABAR</t>
  </si>
  <si>
    <t>DIEKMAN</t>
  </si>
  <si>
    <t>DOMINGUEZ, Jose</t>
  </si>
  <si>
    <t>DOMINGUEZ</t>
  </si>
  <si>
    <t>DOOLITTLE, Sean</t>
  </si>
  <si>
    <t>DOOLITTLE</t>
  </si>
  <si>
    <t>DRABEK, Kyle</t>
  </si>
  <si>
    <t>DRABEK</t>
  </si>
  <si>
    <t>DUENSING, Brian</t>
  </si>
  <si>
    <t>DUENSING</t>
  </si>
  <si>
    <t>DUNN, Michael</t>
  </si>
  <si>
    <t>DUNN</t>
  </si>
  <si>
    <t>FAMILIA, Jeurys</t>
  </si>
  <si>
    <t>FAMILIA</t>
  </si>
  <si>
    <t xml:space="preserve"> Jeurys</t>
  </si>
  <si>
    <t>FARQUHAR, Danny</t>
  </si>
  <si>
    <t>FARQUHAR</t>
  </si>
  <si>
    <t>FELIZ, Neftali</t>
  </si>
  <si>
    <t>FELIZ</t>
  </si>
  <si>
    <t xml:space="preserve"> Neftali</t>
  </si>
  <si>
    <t>FIELDS, Josh</t>
  </si>
  <si>
    <t>FIELDS</t>
  </si>
  <si>
    <t>FIEN, Casey</t>
  </si>
  <si>
    <t>FIEN</t>
  </si>
  <si>
    <t xml:space="preserve"> Casey</t>
  </si>
  <si>
    <t xml:space="preserve"> Frank</t>
  </si>
  <si>
    <t>FRASOR, Jason</t>
  </si>
  <si>
    <t>FRASOR</t>
  </si>
  <si>
    <t>FREEMAN</t>
  </si>
  <si>
    <t>FREEMAN, Sam</t>
  </si>
  <si>
    <t>FRIERI, Ernesto</t>
  </si>
  <si>
    <t>FRIERI</t>
  </si>
  <si>
    <t xml:space="preserve"> Ernesto</t>
  </si>
  <si>
    <t>FUJIKAWA, Kyuji</t>
  </si>
  <si>
    <t>FUJIKAWA</t>
  </si>
  <si>
    <t xml:space="preserve"> Kyuji</t>
  </si>
  <si>
    <t>FURBUSH, Charlie</t>
  </si>
  <si>
    <t>FURBUSH</t>
  </si>
  <si>
    <t>GARCIA, Luis</t>
  </si>
  <si>
    <t>GERMEN, Gonzalez</t>
  </si>
  <si>
    <t>GERMEN</t>
  </si>
  <si>
    <t xml:space="preserve"> Gonzalez</t>
  </si>
  <si>
    <t>GOMES, Brandon</t>
  </si>
  <si>
    <t>GOMES</t>
  </si>
  <si>
    <t>GREGERSON, Luke</t>
  </si>
  <si>
    <t>GREGERSON</t>
  </si>
  <si>
    <t xml:space="preserve"> Luke</t>
  </si>
  <si>
    <t>GREGG, Kevin</t>
  </si>
  <si>
    <t>GREGG</t>
  </si>
  <si>
    <t>GRILLI, Jason</t>
  </si>
  <si>
    <t>GRILLI</t>
  </si>
  <si>
    <t>GUERRA, Javy</t>
  </si>
  <si>
    <t>GUERRA</t>
  </si>
  <si>
    <t xml:space="preserve"> Javy</t>
  </si>
  <si>
    <t>GUILMET, Preston</t>
  </si>
  <si>
    <t>GUILMET</t>
  </si>
  <si>
    <t>HAGADONE, Nick</t>
  </si>
  <si>
    <t>HAGADONE</t>
  </si>
  <si>
    <t xml:space="preserve"> Joel</t>
  </si>
  <si>
    <t>HARRIS, Will</t>
  </si>
  <si>
    <t>HARRIS</t>
  </si>
  <si>
    <t>HATCHER, Chris</t>
  </si>
  <si>
    <t>HATCHER</t>
  </si>
  <si>
    <t>HAWKINS, LaTroy</t>
  </si>
  <si>
    <t>HAWKINS</t>
  </si>
  <si>
    <t xml:space="preserve"> LaTroy</t>
  </si>
  <si>
    <t>HEMBREE, Heath</t>
  </si>
  <si>
    <t>HEMBREE</t>
  </si>
  <si>
    <t xml:space="preserve"> Jim</t>
  </si>
  <si>
    <t>HERRERA, Kelvin</t>
  </si>
  <si>
    <t>HERRERA</t>
  </si>
  <si>
    <t xml:space="preserve"> Kelvin</t>
  </si>
  <si>
    <t>HILL, Rich</t>
  </si>
  <si>
    <t>HILL</t>
  </si>
  <si>
    <t xml:space="preserve"> Rich</t>
  </si>
  <si>
    <t>HOLLAND, Greg</t>
  </si>
  <si>
    <t>HOOVER, J.J.</t>
  </si>
  <si>
    <t>HOOVER</t>
  </si>
  <si>
    <t xml:space="preserve"> J.J.</t>
  </si>
  <si>
    <t>HOWELL, J.P.</t>
  </si>
  <si>
    <t>HOWELL</t>
  </si>
  <si>
    <t xml:space="preserve"> J.P.</t>
  </si>
  <si>
    <t>HUGHES, Jared</t>
  </si>
  <si>
    <t>HUNTER, Tommy</t>
  </si>
  <si>
    <t>HUNTER</t>
  </si>
  <si>
    <t>JANSEN, Kenley</t>
  </si>
  <si>
    <t>JANSEN</t>
  </si>
  <si>
    <t xml:space="preserve"> Kenley</t>
  </si>
  <si>
    <t>JANSSEN, Casey</t>
  </si>
  <si>
    <t>JANSSEN</t>
  </si>
  <si>
    <t>JEFFRESS, Jeremy</t>
  </si>
  <si>
    <t>JEFFRESS</t>
  </si>
  <si>
    <t>JENNINGS, Dan</t>
  </si>
  <si>
    <t>JENNINGS</t>
  </si>
  <si>
    <t>JEPSEN, Kevin</t>
  </si>
  <si>
    <t>JEPSEN</t>
  </si>
  <si>
    <t>JIMENEZ, Cesar</t>
  </si>
  <si>
    <t>JOHNSON, Jim</t>
  </si>
  <si>
    <t>JONES, Nate</t>
  </si>
  <si>
    <t>JONES</t>
  </si>
  <si>
    <t xml:space="preserve"> Donnie</t>
  </si>
  <si>
    <t>KELLEY, Shawn</t>
  </si>
  <si>
    <t>KELLEY</t>
  </si>
  <si>
    <t xml:space="preserve"> Logan</t>
  </si>
  <si>
    <t>KIMBREL, Craig</t>
  </si>
  <si>
    <t>KIMBREL</t>
  </si>
  <si>
    <t>KINTZLER, Brandon</t>
  </si>
  <si>
    <t>KINTZLER</t>
  </si>
  <si>
    <t>KOHN, Michael</t>
  </si>
  <si>
    <t>KOHN</t>
  </si>
  <si>
    <t>KONTOS, George</t>
  </si>
  <si>
    <t>KONTOS</t>
  </si>
  <si>
    <t xml:space="preserve"> George</t>
  </si>
  <si>
    <t>KROL, Ian</t>
  </si>
  <si>
    <t>KROL</t>
  </si>
  <si>
    <t xml:space="preserve"> Bobby</t>
  </si>
  <si>
    <t>LAYNE, Tom</t>
  </si>
  <si>
    <t>LAYNE</t>
  </si>
  <si>
    <t>LOGAN, Boone</t>
  </si>
  <si>
    <t>LOGAN</t>
  </si>
  <si>
    <t xml:space="preserve"> Boone</t>
  </si>
  <si>
    <t>LOPEZ, Javier</t>
  </si>
  <si>
    <t>LOPEZ</t>
  </si>
  <si>
    <t xml:space="preserve"> Javier</t>
  </si>
  <si>
    <t>LOUP, Aaron</t>
  </si>
  <si>
    <t>LOUP</t>
  </si>
  <si>
    <t>LOWE</t>
  </si>
  <si>
    <t>LOWE, Mark</t>
  </si>
  <si>
    <t>LUETGE, Lucas</t>
  </si>
  <si>
    <t>LUETGE</t>
  </si>
  <si>
    <t>MACHI, Jean</t>
  </si>
  <si>
    <t>MACHI</t>
  </si>
  <si>
    <t xml:space="preserve"> Jean</t>
  </si>
  <si>
    <t>MANESS, Seth</t>
  </si>
  <si>
    <t>MANESS</t>
  </si>
  <si>
    <t xml:space="preserve"> Seth</t>
  </si>
  <si>
    <t>MARSHALL</t>
  </si>
  <si>
    <t>MATTHEUS, Ryan</t>
  </si>
  <si>
    <t>MATTHEUS</t>
  </si>
  <si>
    <t>MATUSZ, Brian</t>
  </si>
  <si>
    <t>MATUSZ</t>
  </si>
  <si>
    <t>MAZZARO, Vin</t>
  </si>
  <si>
    <t>MAZZARO</t>
  </si>
  <si>
    <t xml:space="preserve"> Vin</t>
  </si>
  <si>
    <t xml:space="preserve"> Dustin</t>
  </si>
  <si>
    <t>MEDINA, Yoervis</t>
  </si>
  <si>
    <t>MEDINA</t>
  </si>
  <si>
    <t xml:space="preserve"> Yoervis</t>
  </si>
  <si>
    <t>MELANCON, Mark</t>
  </si>
  <si>
    <t>MELANCON</t>
  </si>
  <si>
    <t>MILLER, Andrew</t>
  </si>
  <si>
    <t>MORRIS, Bryan</t>
  </si>
  <si>
    <t>MORRIS</t>
  </si>
  <si>
    <t xml:space="preserve"> Bryan</t>
  </si>
  <si>
    <t>MUJICA, Edward</t>
  </si>
  <si>
    <t>MUJICA</t>
  </si>
  <si>
    <t xml:space="preserve"> Edward</t>
  </si>
  <si>
    <t>NATHAN, Joe</t>
  </si>
  <si>
    <t>NATHAN</t>
  </si>
  <si>
    <t>NESHEK, Pat</t>
  </si>
  <si>
    <t>NESHEK</t>
  </si>
  <si>
    <t xml:space="preserve"> Pat</t>
  </si>
  <si>
    <t>O'DAY, Darren</t>
  </si>
  <si>
    <t>O'DAY</t>
  </si>
  <si>
    <t xml:space="preserve"> Darren</t>
  </si>
  <si>
    <t>O'FLAHERTY, Eric</t>
  </si>
  <si>
    <t>O'FLAHERTY</t>
  </si>
  <si>
    <t>42</t>
  </si>
  <si>
    <t>OTERO, Dan</t>
  </si>
  <si>
    <t>OTERO</t>
  </si>
  <si>
    <t>OTTAVINO, Adam</t>
  </si>
  <si>
    <t>OTTAVINO</t>
  </si>
  <si>
    <t>PAPELBON, Jonathan</t>
  </si>
  <si>
    <t>PAPELBON</t>
  </si>
  <si>
    <t>PARNELL, Bobby</t>
  </si>
  <si>
    <t>PARNELL</t>
  </si>
  <si>
    <t>PARRA, Manny</t>
  </si>
  <si>
    <t>PARRA</t>
  </si>
  <si>
    <t>PATTON</t>
  </si>
  <si>
    <t>PERALTA, Joel</t>
  </si>
  <si>
    <t>PEREZ, Oliver</t>
  </si>
  <si>
    <t xml:space="preserve"> Oliver</t>
  </si>
  <si>
    <t>PERKINS, Glen</t>
  </si>
  <si>
    <t>PERKINS</t>
  </si>
  <si>
    <t xml:space="preserve"> Glen</t>
  </si>
  <si>
    <t>PESTANO, Vinnie</t>
  </si>
  <si>
    <t>PESTANO</t>
  </si>
  <si>
    <t xml:space="preserve"> Vinnie</t>
  </si>
  <si>
    <t>PETRICKA, Jake</t>
  </si>
  <si>
    <t>PETRICKA</t>
  </si>
  <si>
    <t>PIMENTEL, Stolmy</t>
  </si>
  <si>
    <t>PIMENTEL</t>
  </si>
  <si>
    <t xml:space="preserve"> Stolmy</t>
  </si>
  <si>
    <t>PRESSLY, Ryan</t>
  </si>
  <si>
    <t>PRESSLY</t>
  </si>
  <si>
    <t>PUTNAM, Zach</t>
  </si>
  <si>
    <t>PUTNAM</t>
  </si>
  <si>
    <t>QUALLS, Chad</t>
  </si>
  <si>
    <t>QUALLS</t>
  </si>
  <si>
    <t xml:space="preserve"> Brooks</t>
  </si>
  <si>
    <t>RAMOS, A.J.</t>
  </si>
  <si>
    <t>RAMOS</t>
  </si>
  <si>
    <t>RAMOS, Cesar</t>
  </si>
  <si>
    <t>RASMUS, Cory</t>
  </si>
  <si>
    <t>RASMUS</t>
  </si>
  <si>
    <t>REED, Addison</t>
  </si>
  <si>
    <t>REED</t>
  </si>
  <si>
    <t xml:space="preserve"> Addison</t>
  </si>
  <si>
    <t xml:space="preserve"> Evan</t>
  </si>
  <si>
    <t>ROBERTSON, David</t>
  </si>
  <si>
    <t>ROBERTSON</t>
  </si>
  <si>
    <t>RODNEY, Fernando</t>
  </si>
  <si>
    <t>RODNEY</t>
  </si>
  <si>
    <t>RODRIGUEZ, Francisco</t>
  </si>
  <si>
    <t xml:space="preserve"> Henry</t>
  </si>
  <si>
    <t>RODRIGUEZ, Paco</t>
  </si>
  <si>
    <t xml:space="preserve"> Paco</t>
  </si>
  <si>
    <t>ROE, Chaz</t>
  </si>
  <si>
    <t>ROE</t>
  </si>
  <si>
    <t xml:space="preserve"> Chaz</t>
  </si>
  <si>
    <t>ROMO, Sergio</t>
  </si>
  <si>
    <t>ROMO</t>
  </si>
  <si>
    <t xml:space="preserve"> Sergio</t>
  </si>
  <si>
    <t>RONDON</t>
  </si>
  <si>
    <t>RONDON, Hector</t>
  </si>
  <si>
    <t>ROSENTHAL, Trevor</t>
  </si>
  <si>
    <t>ROSENTHAL</t>
  </si>
  <si>
    <t>ROSS, Robbie</t>
  </si>
  <si>
    <t>ROSSCUP, Zac</t>
  </si>
  <si>
    <t>ROSSCUP</t>
  </si>
  <si>
    <t xml:space="preserve"> Zac</t>
  </si>
  <si>
    <t>RUSSELL, James</t>
  </si>
  <si>
    <t>RUSSELL</t>
  </si>
  <si>
    <t>RZEPCZYNSKI, Marc</t>
  </si>
  <si>
    <t>RZEPCZYNSKI</t>
  </si>
  <si>
    <t xml:space="preserve"> Marc</t>
  </si>
  <si>
    <t>SALAS, Fernando</t>
  </si>
  <si>
    <t>SALAS</t>
  </si>
  <si>
    <t>SANTOS, Sergio</t>
  </si>
  <si>
    <t>SANTOS</t>
  </si>
  <si>
    <t>SCAHILL, Rob</t>
  </si>
  <si>
    <t>SCAHILL</t>
  </si>
  <si>
    <t xml:space="preserve"> Rob</t>
  </si>
  <si>
    <t>SCHEPPERS, Tanner</t>
  </si>
  <si>
    <t>SCHEPPERS</t>
  </si>
  <si>
    <t>SCRIBNER, Evan</t>
  </si>
  <si>
    <t>SCRIBNER</t>
  </si>
  <si>
    <t>SHAW, Bryan</t>
  </si>
  <si>
    <t>SHAW</t>
  </si>
  <si>
    <t>SIEGRIST, Kevin</t>
  </si>
  <si>
    <t>SIEGRIST</t>
  </si>
  <si>
    <t>SIMON, Alfredo</t>
  </si>
  <si>
    <t>SIMON</t>
  </si>
  <si>
    <t>SIPP, Tony</t>
  </si>
  <si>
    <t>SIPP</t>
  </si>
  <si>
    <t>SMITH, Joe</t>
  </si>
  <si>
    <t>SMYLY, Drew</t>
  </si>
  <si>
    <t>SMYLY</t>
  </si>
  <si>
    <t>SORIA, Joakim</t>
  </si>
  <si>
    <t>SORIA</t>
  </si>
  <si>
    <t xml:space="preserve"> Joakim</t>
  </si>
  <si>
    <t>SORIANO, Rafael</t>
  </si>
  <si>
    <t>SORIANO</t>
  </si>
  <si>
    <t>STAMMEN, Craig</t>
  </si>
  <si>
    <t>STAMMEN</t>
  </si>
  <si>
    <t>STAUFFER, Tim</t>
  </si>
  <si>
    <t>STAUFFER</t>
  </si>
  <si>
    <t>STOREN, Drew</t>
  </si>
  <si>
    <t>STOREN</t>
  </si>
  <si>
    <t>STREET, Huston</t>
  </si>
  <si>
    <t>STREET</t>
  </si>
  <si>
    <t xml:space="preserve"> Huston</t>
  </si>
  <si>
    <t>STROP, Pedro</t>
  </si>
  <si>
    <t>STROP</t>
  </si>
  <si>
    <t>SWARZAK, Anthony</t>
  </si>
  <si>
    <t>SWARZAK</t>
  </si>
  <si>
    <t>TAZAWA, Junichi</t>
  </si>
  <si>
    <t>TAZAWA</t>
  </si>
  <si>
    <t xml:space="preserve"> Junichi</t>
  </si>
  <si>
    <t>THATCHER, Joe</t>
  </si>
  <si>
    <t>THATCHER</t>
  </si>
  <si>
    <t>THAYER, Dale</t>
  </si>
  <si>
    <t>THAYER</t>
  </si>
  <si>
    <t xml:space="preserve"> Dale</t>
  </si>
  <si>
    <t>THIELBAR, Caleb</t>
  </si>
  <si>
    <t>THIELBAR</t>
  </si>
  <si>
    <t xml:space="preserve"> Caleb</t>
  </si>
  <si>
    <t>THORNTON, Matt</t>
  </si>
  <si>
    <t>THORNTON</t>
  </si>
  <si>
    <t>TOLLESON, Shawn</t>
  </si>
  <si>
    <t>TOLLESON</t>
  </si>
  <si>
    <t>TOMLIN, Josh</t>
  </si>
  <si>
    <t>TOMLIN</t>
  </si>
  <si>
    <t>TONKIN, Michael</t>
  </si>
  <si>
    <t>TONKIN</t>
  </si>
  <si>
    <t>TORRES, Alex</t>
  </si>
  <si>
    <t>21*</t>
  </si>
  <si>
    <t>UEHARA, Koji</t>
  </si>
  <si>
    <t>UEHARA</t>
  </si>
  <si>
    <t xml:space="preserve"> Koji</t>
  </si>
  <si>
    <t>VARVARO, Anthony</t>
  </si>
  <si>
    <t>VARVARO</t>
  </si>
  <si>
    <t>VEAL, Donnie</t>
  </si>
  <si>
    <t>VEAL</t>
  </si>
  <si>
    <t>VINCENT, Nick</t>
  </si>
  <si>
    <t>VINCENT</t>
  </si>
  <si>
    <t>WAGNER</t>
  </si>
  <si>
    <t xml:space="preserve"> Neil</t>
  </si>
  <si>
    <t>WALDEN, Jordan</t>
  </si>
  <si>
    <t>WALDEN</t>
  </si>
  <si>
    <t>WATSON, Tony</t>
  </si>
  <si>
    <t>WATSON</t>
  </si>
  <si>
    <t>WEBB, Daniel</t>
  </si>
  <si>
    <t>WEBB</t>
  </si>
  <si>
    <t>WEBB, Ryan</t>
  </si>
  <si>
    <t>WILHELMSEN, Tom</t>
  </si>
  <si>
    <t>WILHELMSEN</t>
  </si>
  <si>
    <t>WILSON, Alex</t>
  </si>
  <si>
    <t>WILSON, Justin</t>
  </si>
  <si>
    <t>WOOTEN, Rob</t>
  </si>
  <si>
    <t>WOOTEN</t>
  </si>
  <si>
    <t>WRIGHT, Wesley</t>
  </si>
  <si>
    <t xml:space="preserve"> Wesley</t>
  </si>
  <si>
    <t>ZIEGLER, Brad</t>
  </si>
  <si>
    <t>ZIEGLER</t>
  </si>
  <si>
    <t>K</t>
  </si>
  <si>
    <t>MLB</t>
  </si>
  <si>
    <t>Gr</t>
  </si>
  <si>
    <t>Pitcher</t>
  </si>
  <si>
    <t>FAT</t>
  </si>
  <si>
    <t>Name</t>
  </si>
  <si>
    <t>TANAKA, Masahiro</t>
  </si>
  <si>
    <t>TANAKA</t>
  </si>
  <si>
    <t xml:space="preserve"> Masahiro</t>
  </si>
  <si>
    <t>GREENE, Shane</t>
  </si>
  <si>
    <t>GREENE</t>
  </si>
  <si>
    <t xml:space="preserve"> Shane</t>
  </si>
  <si>
    <t>PINEDA, Michael</t>
  </si>
  <si>
    <t>PINEDA</t>
  </si>
  <si>
    <t>YATES, Kirby</t>
  </si>
  <si>
    <t>YATES</t>
  </si>
  <si>
    <t xml:space="preserve"> Kirby</t>
  </si>
  <si>
    <t>HUTCHISON, Drew</t>
  </si>
  <si>
    <t>HUTCHISON</t>
  </si>
  <si>
    <t>STROMAN, Marcus</t>
  </si>
  <si>
    <t>STROMAN</t>
  </si>
  <si>
    <t xml:space="preserve"> Marcus</t>
  </si>
  <si>
    <t>7/8*</t>
  </si>
  <si>
    <t>CARROLL, Scott</t>
  </si>
  <si>
    <t>CARROLL</t>
  </si>
  <si>
    <t>HOUSE, T.J.</t>
  </si>
  <si>
    <t>HOUSE</t>
  </si>
  <si>
    <t>CROCKETT, Kyle</t>
  </si>
  <si>
    <t>CROCKETT</t>
  </si>
  <si>
    <t>25*</t>
  </si>
  <si>
    <t>PINO, Yohan</t>
  </si>
  <si>
    <t>PINO</t>
  </si>
  <si>
    <t xml:space="preserve"> Yohan</t>
  </si>
  <si>
    <t>MORIN, Mike</t>
  </si>
  <si>
    <t>MORIN</t>
  </si>
  <si>
    <t>YOUNG, Chris R.</t>
  </si>
  <si>
    <t>YOUNG</t>
  </si>
  <si>
    <t xml:space="preserve"> Chris R.</t>
  </si>
  <si>
    <t>ELIAS, Roenis</t>
  </si>
  <si>
    <t>ELIAS</t>
  </si>
  <si>
    <t xml:space="preserve"> Roenis</t>
  </si>
  <si>
    <t>LEWIS, Colby</t>
  </si>
  <si>
    <t>LEWIS</t>
  </si>
  <si>
    <t xml:space="preserve"> Colby</t>
  </si>
  <si>
    <t>MARTINEZ, Nick</t>
  </si>
  <si>
    <t>MENDEZ, Roman</t>
  </si>
  <si>
    <t>MENDEZ</t>
  </si>
  <si>
    <t xml:space="preserve"> Roman</t>
  </si>
  <si>
    <t>BUCHANAN, David</t>
  </si>
  <si>
    <t>BUCHANAN</t>
  </si>
  <si>
    <t>DIEKMAN, Jake</t>
  </si>
  <si>
    <t>GILES, Ken</t>
  </si>
  <si>
    <t>GILES</t>
  </si>
  <si>
    <t xml:space="preserve"> Ken</t>
  </si>
  <si>
    <t>BARRETT, Aaron</t>
  </si>
  <si>
    <t>BARRETT</t>
  </si>
  <si>
    <t>HENDRICKS, Kyle</t>
  </si>
  <si>
    <t>HENDRICKS</t>
  </si>
  <si>
    <t>SCHLITTER, Brian</t>
  </si>
  <si>
    <t>SCHLITTER</t>
  </si>
  <si>
    <t>RAMIREZ, Neil</t>
  </si>
  <si>
    <t>DIAZ, Jumbo</t>
  </si>
  <si>
    <t>DIAZ</t>
  </si>
  <si>
    <t xml:space="preserve"> Jumbo</t>
  </si>
  <si>
    <t>ANDERSON, Chase</t>
  </si>
  <si>
    <t xml:space="preserve"> Chase</t>
  </si>
  <si>
    <t>MARSHALL, Evan</t>
  </si>
  <si>
    <t>STITES, Matt</t>
  </si>
  <si>
    <t>STITES</t>
  </si>
  <si>
    <t>MATZEK, Tyler</t>
  </si>
  <si>
    <t>MATZEK</t>
  </si>
  <si>
    <t>2/4*</t>
  </si>
  <si>
    <t>KAHNLE, Tommy</t>
  </si>
  <si>
    <t>KAHNLE</t>
  </si>
  <si>
    <t>MASSET, Nick</t>
  </si>
  <si>
    <t>MASSET</t>
  </si>
  <si>
    <t>DESPAIGNE, Odrisamer</t>
  </si>
  <si>
    <t>DESPAIGNE</t>
  </si>
  <si>
    <t xml:space="preserve"> Odrisamer</t>
  </si>
  <si>
    <t>HAHN, Jesse</t>
  </si>
  <si>
    <t>HAHN</t>
  </si>
  <si>
    <t>QUACKENBUSH, Kevin</t>
  </si>
  <si>
    <t>QUACKENBUSH</t>
  </si>
  <si>
    <t>ACHTER, Adam</t>
  </si>
  <si>
    <t>ACHTER</t>
  </si>
  <si>
    <t>ADAMS, Austin</t>
  </si>
  <si>
    <t xml:space="preserve"> Austin</t>
  </si>
  <si>
    <t>ADCOCK, Nate</t>
  </si>
  <si>
    <t>ADCOCK</t>
  </si>
  <si>
    <t>ALVAREZ, Dario</t>
  </si>
  <si>
    <t xml:space="preserve"> Dario</t>
  </si>
  <si>
    <t>ALVAREZ, Roy</t>
  </si>
  <si>
    <t>BAEZ, Pedro</t>
  </si>
  <si>
    <t>BAEZ</t>
  </si>
  <si>
    <t>BARNES, Matt</t>
  </si>
  <si>
    <t>BASSITT, Chris</t>
  </si>
  <si>
    <t>BASSITT</t>
  </si>
  <si>
    <t>BEDROSIAN, Cam</t>
  </si>
  <si>
    <t>BEDROSIAN</t>
  </si>
  <si>
    <t xml:space="preserve"> Cam</t>
  </si>
  <si>
    <t>BEELER, Dallas</t>
  </si>
  <si>
    <t>BEELER</t>
  </si>
  <si>
    <t>BEIMEL, Joe</t>
  </si>
  <si>
    <t>BEIMEL</t>
  </si>
  <si>
    <t>BERGMAN, Christian</t>
  </si>
  <si>
    <t>BERGMAN</t>
  </si>
  <si>
    <t xml:space="preserve"> Christian</t>
  </si>
  <si>
    <t>BOCHY, Brett</t>
  </si>
  <si>
    <t>BOCHY</t>
  </si>
  <si>
    <t>BOLSINGER, Mike</t>
  </si>
  <si>
    <t>BOLSINGER</t>
  </si>
  <si>
    <t>BOYER, Blaine</t>
  </si>
  <si>
    <t>BOYER</t>
  </si>
  <si>
    <t xml:space="preserve"> Blaine</t>
  </si>
  <si>
    <t>BROOKS, Aaron</t>
  </si>
  <si>
    <t>BROOKS</t>
  </si>
  <si>
    <t>BROWN, Brooks</t>
  </si>
  <si>
    <t>BROWN</t>
  </si>
  <si>
    <t>BUCHANAN, Jake</t>
  </si>
  <si>
    <t>BUTLER, Eddie</t>
  </si>
  <si>
    <t xml:space="preserve"> Eddie</t>
  </si>
  <si>
    <t>CAMPOS, Leonel</t>
  </si>
  <si>
    <t>CAMPOS</t>
  </si>
  <si>
    <t xml:space="preserve"> Leonel</t>
  </si>
  <si>
    <t>CARLYLE, Buddy</t>
  </si>
  <si>
    <t>CARLYLE</t>
  </si>
  <si>
    <t>CHAFIN, Andrew</t>
  </si>
  <si>
    <t>CHAFIN</t>
  </si>
  <si>
    <t>CLAUDIO, Alex</t>
  </si>
  <si>
    <t>CLAUDIO</t>
  </si>
  <si>
    <t>CONTRERAS, Carlos</t>
  </si>
  <si>
    <t>CORDIER, Erik</t>
  </si>
  <si>
    <t>CORDIER</t>
  </si>
  <si>
    <t>COULOMBE, Daniel</t>
  </si>
  <si>
    <t>COULOMBE</t>
  </si>
  <si>
    <t>DIAZ, Jairo</t>
  </si>
  <si>
    <t>EDWARDS, Jon</t>
  </si>
  <si>
    <t>EDWARDS</t>
  </si>
  <si>
    <t>EVELAND, Dana</t>
  </si>
  <si>
    <t>EVELAND</t>
  </si>
  <si>
    <t xml:space="preserve"> Dana</t>
  </si>
  <si>
    <t>FARMER, Buck</t>
  </si>
  <si>
    <t>FARMER</t>
  </si>
  <si>
    <t xml:space="preserve"> Buck</t>
  </si>
  <si>
    <t>FINNEGAN, Brandon</t>
  </si>
  <si>
    <t>FINNEGAN</t>
  </si>
  <si>
    <t>FLANDE, Yohan</t>
  </si>
  <si>
    <t>FLANDE</t>
  </si>
  <si>
    <t>FOLTYNEWICZ, Michael</t>
  </si>
  <si>
    <t>FOLTYNEWICZ</t>
  </si>
  <si>
    <t>FRIAS, Carlos</t>
  </si>
  <si>
    <t>FRIAS</t>
  </si>
  <si>
    <t>FRIEDRICH, Christian</t>
  </si>
  <si>
    <t>FRIEDRICH</t>
  </si>
  <si>
    <t>GARCES, Frank</t>
  </si>
  <si>
    <t>GARCES</t>
  </si>
  <si>
    <t>GARCIA, Yimi</t>
  </si>
  <si>
    <t xml:space="preserve"> Yimi</t>
  </si>
  <si>
    <t>GELTZ, Steve</t>
  </si>
  <si>
    <t>GELTZ</t>
  </si>
  <si>
    <t>GOEDDEL, Erik</t>
  </si>
  <si>
    <t>GOEDDEL</t>
  </si>
  <si>
    <t>GONZALES, Marco</t>
  </si>
  <si>
    <t>GONZALES</t>
  </si>
  <si>
    <t>GRAVEMAN, Kendall</t>
  </si>
  <si>
    <t>GRAVEMAN</t>
  </si>
  <si>
    <t xml:space="preserve"> Kendall</t>
  </si>
  <si>
    <t>GREENWOOD, Nick</t>
  </si>
  <si>
    <t>GREENWOOD</t>
  </si>
  <si>
    <t>HARDY, Blaine</t>
  </si>
  <si>
    <t>HARDY</t>
  </si>
  <si>
    <t>HEANEY, Andrew</t>
  </si>
  <si>
    <t>HEANEY</t>
  </si>
  <si>
    <t>HESTON, Chris</t>
  </si>
  <si>
    <t>HESTON</t>
  </si>
  <si>
    <t>HILL, Taylor</t>
  </si>
  <si>
    <t>HUDSON, Daniel</t>
  </si>
  <si>
    <t>JAIME, Juan</t>
  </si>
  <si>
    <t>JAIME</t>
  </si>
  <si>
    <t>KLEIN, Phil</t>
  </si>
  <si>
    <t>KLEIN</t>
  </si>
  <si>
    <t>KNEBEL, Corey</t>
  </si>
  <si>
    <t>KNEBEL</t>
  </si>
  <si>
    <t>LEONE, Dominic</t>
  </si>
  <si>
    <t>LEONE</t>
  </si>
  <si>
    <t xml:space="preserve"> Dominic</t>
  </si>
  <si>
    <t>LOBSTEIN, Kyle</t>
  </si>
  <si>
    <t>LOBSTEIN</t>
  </si>
  <si>
    <t>MARIOT, Michael</t>
  </si>
  <si>
    <t>MARIOT</t>
  </si>
  <si>
    <t>MARTIN, Chris</t>
  </si>
  <si>
    <t>3/5*</t>
  </si>
  <si>
    <t>MAY, Trevor</t>
  </si>
  <si>
    <t>MAY</t>
  </si>
  <si>
    <t>MILLER, Justin</t>
  </si>
  <si>
    <t>MILLS, Brad</t>
  </si>
  <si>
    <t>MILLS</t>
  </si>
  <si>
    <t>MITCHELL, Bryan</t>
  </si>
  <si>
    <t>MITCHELL</t>
  </si>
  <si>
    <t>MONTERO, Rafael</t>
  </si>
  <si>
    <t>MONTERO</t>
  </si>
  <si>
    <t>MOTTE, Jason</t>
  </si>
  <si>
    <t>MOTTE</t>
  </si>
  <si>
    <t>NERIS, Hector</t>
  </si>
  <si>
    <t>NERIS</t>
  </si>
  <si>
    <t>NORRIS, Daniel</t>
  </si>
  <si>
    <t>OWENS</t>
  </si>
  <si>
    <t>PATTON, Spencer</t>
  </si>
  <si>
    <t xml:space="preserve"> Spencer</t>
  </si>
  <si>
    <t xml:space="preserve"> Felipe</t>
  </si>
  <si>
    <t xml:space="preserve"> 15 </t>
  </si>
  <si>
    <t>RAMIREZ, Jose A.</t>
  </si>
  <si>
    <t xml:space="preserve"> Jose A.</t>
  </si>
  <si>
    <t>RANAUDO, Anthony</t>
  </si>
  <si>
    <t>RANAUDO</t>
  </si>
  <si>
    <t>RASMUSSEN, Rob</t>
  </si>
  <si>
    <t>RASMUSSEN</t>
  </si>
  <si>
    <t>RAY, Robbie</t>
  </si>
  <si>
    <t>RAY</t>
  </si>
  <si>
    <t>RIEFENHAUSER, C.J.</t>
  </si>
  <si>
    <t>RIEFENHAUSER</t>
  </si>
  <si>
    <t>ROACH, Donn</t>
  </si>
  <si>
    <t>ROACH</t>
  </si>
  <si>
    <t xml:space="preserve"> Donn</t>
  </si>
  <si>
    <t>RODRIGUEZ, Fernando</t>
  </si>
  <si>
    <t>RONDON, Jorge</t>
  </si>
  <si>
    <t>RUCINSKI, Drew</t>
  </si>
  <si>
    <t>RUCINSKI</t>
  </si>
  <si>
    <t>RYAN, Kyle</t>
  </si>
  <si>
    <t>RYAN</t>
  </si>
  <si>
    <t>SADLER, Casey</t>
  </si>
  <si>
    <t>SADLER</t>
  </si>
  <si>
    <t>SANCHEZ, Aaron</t>
  </si>
  <si>
    <t>SCHULTZ, Bo</t>
  </si>
  <si>
    <t>SCHULTZ</t>
  </si>
  <si>
    <t xml:space="preserve"> Bo</t>
  </si>
  <si>
    <t>SHREVE, Chasen</t>
  </si>
  <si>
    <t>SHREVE</t>
  </si>
  <si>
    <t xml:space="preserve"> Chasen</t>
  </si>
  <si>
    <t>SMITH, Carson</t>
  </si>
  <si>
    <t xml:space="preserve"> Carson</t>
  </si>
  <si>
    <t>SMITH, Chad</t>
  </si>
  <si>
    <t>STRICKLAND, Hunter</t>
  </si>
  <si>
    <t>STRICKLAND</t>
  </si>
  <si>
    <t xml:space="preserve"> Hunter</t>
  </si>
  <si>
    <t>THOMAS, Ian</t>
  </si>
  <si>
    <t>THOMAS</t>
  </si>
  <si>
    <t>THOMPSON, Aaron</t>
  </si>
  <si>
    <t>THOMPSON</t>
  </si>
  <si>
    <t>TREINEN, Blake</t>
  </si>
  <si>
    <t>TREINEN</t>
  </si>
  <si>
    <t>TROPEANO, Nick</t>
  </si>
  <si>
    <t>TROPEANO</t>
  </si>
  <si>
    <t>TUIVAILALA, Samuel</t>
  </si>
  <si>
    <t>TUIVAILALA</t>
  </si>
  <si>
    <t>VIZCAINO, Arodys</t>
  </si>
  <si>
    <t>VIZCAINO</t>
  </si>
  <si>
    <t xml:space="preserve"> Arodys</t>
  </si>
  <si>
    <t>WADA, Tsuyoshi</t>
  </si>
  <si>
    <t>WADA</t>
  </si>
  <si>
    <t xml:space="preserve"> Tsuyoshi</t>
  </si>
  <si>
    <t>WHITLEY, Chase</t>
  </si>
  <si>
    <t>WHITLEY</t>
  </si>
  <si>
    <t>WIELAND, Joe</t>
  </si>
  <si>
    <t>WIELAND</t>
  </si>
  <si>
    <t>WOLF, Randy</t>
  </si>
  <si>
    <t>ROSIN, Seth</t>
  </si>
  <si>
    <t>ROSIN</t>
  </si>
  <si>
    <t>WEST, Matt</t>
  </si>
  <si>
    <t>WEST</t>
  </si>
  <si>
    <t>DESCLAFANI, Anthony</t>
  </si>
  <si>
    <t>De La ROSA, Jorge</t>
  </si>
  <si>
    <t>DEGROM, Jacob</t>
  </si>
  <si>
    <t>GILMARTIN, Sean</t>
  </si>
  <si>
    <t>BILLINGSLEY, Chad</t>
  </si>
  <si>
    <t>KELLY, Casey</t>
  </si>
  <si>
    <t>AARDSMA, David</t>
  </si>
  <si>
    <t>AARDSMA</t>
  </si>
  <si>
    <t>ALBERS, Andrew</t>
  </si>
  <si>
    <t>ALEXANDER, Scott</t>
  </si>
  <si>
    <t>ALEXANDER</t>
  </si>
  <si>
    <t>ALMONTE, Miguel</t>
  </si>
  <si>
    <t>ALMONTE</t>
  </si>
  <si>
    <t>ANDERSON, Cody</t>
  </si>
  <si>
    <t>ANDRIESE, Matt</t>
  </si>
  <si>
    <t>ANDRIESE</t>
  </si>
  <si>
    <t>4/6*</t>
  </si>
  <si>
    <t>ARAUJO, Elvis</t>
  </si>
  <si>
    <t>ARAUJO</t>
  </si>
  <si>
    <t xml:space="preserve"> Elvis</t>
  </si>
  <si>
    <t>ARMSTRONG, Shawn</t>
  </si>
  <si>
    <t>ARMSTRONG</t>
  </si>
  <si>
    <t>ARO, Jonathan</t>
  </si>
  <si>
    <t>ARO</t>
  </si>
  <si>
    <t>ASHER, Alec</t>
  </si>
  <si>
    <t>ASHER</t>
  </si>
  <si>
    <t xml:space="preserve"> Alec</t>
  </si>
  <si>
    <t>BAILEY, Andrew</t>
  </si>
  <si>
    <t>BALESTER, Collin</t>
  </si>
  <si>
    <t>BALESTER</t>
  </si>
  <si>
    <t>BANUELOS, Manuel</t>
  </si>
  <si>
    <t>BANUELOS</t>
  </si>
  <si>
    <t xml:space="preserve"> Manuel</t>
  </si>
  <si>
    <t>BARRACLOUGH, Kyle</t>
  </si>
  <si>
    <t>BARRACLOUGH</t>
  </si>
  <si>
    <t>BARRIOS, Yhonathan</t>
  </si>
  <si>
    <t>BARRIOS</t>
  </si>
  <si>
    <t xml:space="preserve"> Yhonathan</t>
  </si>
  <si>
    <t>BEACHY, Brandon</t>
  </si>
  <si>
    <t>BEACHY</t>
  </si>
  <si>
    <t>BECK, Chris</t>
  </si>
  <si>
    <t>BECK</t>
  </si>
  <si>
    <t>BELLATTI, Andrew</t>
  </si>
  <si>
    <t>BELLATTI</t>
  </si>
  <si>
    <t>BETANCOURT, Rafael</t>
  </si>
  <si>
    <t>BETANCOURT</t>
  </si>
  <si>
    <t>40</t>
  </si>
  <si>
    <t>BILLINGSLEY</t>
  </si>
  <si>
    <t>BLANTON, Joe</t>
  </si>
  <si>
    <t>BLANTON</t>
  </si>
  <si>
    <t>9/13*</t>
  </si>
  <si>
    <t>BLAZEK, Michael</t>
  </si>
  <si>
    <t>BLAZEK</t>
  </si>
  <si>
    <t>BOYD, Matt</t>
  </si>
  <si>
    <t>BOYD</t>
  </si>
  <si>
    <t>BRACHO, Silvino</t>
  </si>
  <si>
    <t>BRACHO</t>
  </si>
  <si>
    <t xml:space="preserve"> Silvino</t>
  </si>
  <si>
    <t>BRADLEY, Archie</t>
  </si>
  <si>
    <t>BRADLEY</t>
  </si>
  <si>
    <t xml:space="preserve"> Archie</t>
  </si>
  <si>
    <t>BRIGHAM, Jake</t>
  </si>
  <si>
    <t>BRIGHAM</t>
  </si>
  <si>
    <t>BROADWAY, Michael</t>
  </si>
  <si>
    <t>BROADWAY</t>
  </si>
  <si>
    <t>BURAWA, Danny</t>
  </si>
  <si>
    <t>BURAWA</t>
  </si>
  <si>
    <t>BURGOS, Enrique</t>
  </si>
  <si>
    <t>BURGOS</t>
  </si>
  <si>
    <t xml:space="preserve"> Enrique</t>
  </si>
  <si>
    <t>CASTRO, Angel</t>
  </si>
  <si>
    <t>CASTRO</t>
  </si>
  <si>
    <t xml:space="preserve"> Angel</t>
  </si>
  <si>
    <t>CASTRO, Miguel</t>
  </si>
  <si>
    <t>CASTRO, Simon</t>
  </si>
  <si>
    <t xml:space="preserve"> Simon</t>
  </si>
  <si>
    <t>COLE, A.J.</t>
  </si>
  <si>
    <t>5/8*</t>
  </si>
  <si>
    <t>8</t>
  </si>
  <si>
    <t>CONLEY, Adam</t>
  </si>
  <si>
    <t>CONLEY</t>
  </si>
  <si>
    <t>COONEY, Tim</t>
  </si>
  <si>
    <t>COONEY</t>
  </si>
  <si>
    <t>COPELAND, Scott</t>
  </si>
  <si>
    <t>COPELAND</t>
  </si>
  <si>
    <t>CORBIN, Patrick</t>
  </si>
  <si>
    <t>CORBIN</t>
  </si>
  <si>
    <t xml:space="preserve"> Patrick</t>
  </si>
  <si>
    <t>CORNELY, John</t>
  </si>
  <si>
    <t>CORNELY</t>
  </si>
  <si>
    <t>COTHAM, Caleb</t>
  </si>
  <si>
    <t>COTHAM</t>
  </si>
  <si>
    <t>CRAVY, Tyler</t>
  </si>
  <si>
    <t>CRAVY</t>
  </si>
  <si>
    <t>CUNNIFF, Brandon</t>
  </si>
  <si>
    <t>CUNNIFF</t>
  </si>
  <si>
    <t>DAVIES, Kyle</t>
  </si>
  <si>
    <t>DAVIES</t>
  </si>
  <si>
    <t>DAVIES, Zach</t>
  </si>
  <si>
    <t>27*</t>
  </si>
  <si>
    <t>DEFRATUS, Justin</t>
  </si>
  <si>
    <t>DEFRATUS</t>
  </si>
  <si>
    <t>DE LA ROSA, Jorge</t>
  </si>
  <si>
    <t>DE LOS SANTOS, Abel</t>
  </si>
  <si>
    <t>DE LOS SANTOS</t>
  </si>
  <si>
    <t xml:space="preserve"> Abel</t>
  </si>
  <si>
    <t>DE PAULA, Jose</t>
  </si>
  <si>
    <t>DE PAULA</t>
  </si>
  <si>
    <t>DEGROM</t>
  </si>
  <si>
    <t>6/14*</t>
  </si>
  <si>
    <t>DESCLAFANI</t>
  </si>
  <si>
    <t>1/2*</t>
  </si>
  <si>
    <t>DRAKE, Oliver</t>
  </si>
  <si>
    <t>DRAKE</t>
  </si>
  <si>
    <t>DUFFEY, Tyler</t>
  </si>
  <si>
    <t>DUFFEY</t>
  </si>
  <si>
    <t>DULL, Ryan</t>
  </si>
  <si>
    <t>DULL</t>
  </si>
  <si>
    <t>EDWARDS, Carl</t>
  </si>
  <si>
    <t xml:space="preserve"> Carl</t>
  </si>
  <si>
    <t>EICKHOFF, Jerad</t>
  </si>
  <si>
    <t>EICKHOFF</t>
  </si>
  <si>
    <t xml:space="preserve"> Jerad</t>
  </si>
  <si>
    <t>ELLINGTON, Brian</t>
  </si>
  <si>
    <t>ELLINGTON</t>
  </si>
  <si>
    <t>FAULKNER, Andrew</t>
  </si>
  <si>
    <t>FAULKNER</t>
  </si>
  <si>
    <t>FELIZ, Michael</t>
  </si>
  <si>
    <t>FERRELL, Jeff</t>
  </si>
  <si>
    <t>FERRELL</t>
  </si>
  <si>
    <t>FLORES, Kendry</t>
  </si>
  <si>
    <t>FLORES</t>
  </si>
  <si>
    <t xml:space="preserve"> Kendry</t>
  </si>
  <si>
    <t>GARCIA, Jason</t>
  </si>
  <si>
    <t>4/9*</t>
  </si>
  <si>
    <t>GEARRIN, Cory</t>
  </si>
  <si>
    <t>GEARRIN</t>
  </si>
  <si>
    <t>4/10*</t>
  </si>
  <si>
    <t>GILMARTIN</t>
  </si>
  <si>
    <t>GIVENS, Mychal</t>
  </si>
  <si>
    <t>GIVENS</t>
  </si>
  <si>
    <t xml:space="preserve"> Mychal</t>
  </si>
  <si>
    <t>GODLEY, Zack</t>
  </si>
  <si>
    <t>GODLEY</t>
  </si>
  <si>
    <t>GOFORTH, David</t>
  </si>
  <si>
    <t>GOFORTH</t>
  </si>
  <si>
    <t>GONZALEZ, Alex</t>
  </si>
  <si>
    <t>GONZALEZ, Severino</t>
  </si>
  <si>
    <t xml:space="preserve"> Severino</t>
  </si>
  <si>
    <t>GOODY, Nick</t>
  </si>
  <si>
    <t>GOODY</t>
  </si>
  <si>
    <t>GOTT, Trevor</t>
  </si>
  <si>
    <t>GOTT</t>
  </si>
  <si>
    <t>GRACE, Matt</t>
  </si>
  <si>
    <t>GRACE</t>
  </si>
  <si>
    <t>GRAHAM, J.R.</t>
  </si>
  <si>
    <t>GRAHAM</t>
  </si>
  <si>
    <t xml:space="preserve"> J.R.</t>
  </si>
  <si>
    <t>GRAY, Jon</t>
  </si>
  <si>
    <t>GUAIPE, Mayckol</t>
  </si>
  <si>
    <t>GUAIPE</t>
  </si>
  <si>
    <t xml:space="preserve"> Mayckol</t>
  </si>
  <si>
    <t>GUERRA, Deolis</t>
  </si>
  <si>
    <t xml:space="preserve"> Deolis</t>
  </si>
  <si>
    <t>GUERRA, Junior</t>
  </si>
  <si>
    <t xml:space="preserve"> Junior</t>
  </si>
  <si>
    <t>GURKA, Jason</t>
  </si>
  <si>
    <t>GURKA</t>
  </si>
  <si>
    <t>HALL, Cody</t>
  </si>
  <si>
    <t>HALL</t>
  </si>
  <si>
    <t>HAND, Donovan</t>
  </si>
  <si>
    <t xml:space="preserve"> Donovan</t>
  </si>
  <si>
    <t>HARRIS, Mitch</t>
  </si>
  <si>
    <t xml:space="preserve"> Mitch</t>
  </si>
  <si>
    <t>HARVEY, Matt</t>
  </si>
  <si>
    <t>HARVEY</t>
  </si>
  <si>
    <t>HATLEY, Marcus</t>
  </si>
  <si>
    <t>HATLEY</t>
  </si>
  <si>
    <t>HERNANDEZ, David</t>
  </si>
  <si>
    <t>HESSLER, Keith</t>
  </si>
  <si>
    <t>HESSLER</t>
  </si>
  <si>
    <t>HINOJOSA, Dalier</t>
  </si>
  <si>
    <t>HINOJOSA</t>
  </si>
  <si>
    <t xml:space="preserve"> Dalier</t>
  </si>
  <si>
    <t>HOCHEVAR, Luke</t>
  </si>
  <si>
    <t>HOCHEVAR</t>
  </si>
  <si>
    <t>HOUSER, Adrian</t>
  </si>
  <si>
    <t>HOUSER</t>
  </si>
  <si>
    <t xml:space="preserve"> Adrian</t>
  </si>
  <si>
    <t>4/8*</t>
  </si>
  <si>
    <t>HYNES, Colt</t>
  </si>
  <si>
    <t>HYNES</t>
  </si>
  <si>
    <t xml:space="preserve"> Colt</t>
  </si>
  <si>
    <t>IBARRA, Edgar</t>
  </si>
  <si>
    <t>IBARRA</t>
  </si>
  <si>
    <t xml:space="preserve"> Edgar</t>
  </si>
  <si>
    <t>IGLESIAS, Raisel</t>
  </si>
  <si>
    <t>IGLESIAS</t>
  </si>
  <si>
    <t xml:space="preserve"> Raisel</t>
  </si>
  <si>
    <t>JACKSON, Jay</t>
  </si>
  <si>
    <t xml:space="preserve"> Jay</t>
  </si>
  <si>
    <t>JACKSON, Luke</t>
  </si>
  <si>
    <t>JOHNSON, Brian</t>
  </si>
  <si>
    <t>JOHNSON, Steve</t>
  </si>
  <si>
    <t>JUNGMANN, Taylor</t>
  </si>
  <si>
    <t>JUNGMANN</t>
  </si>
  <si>
    <t>KELA, Keone</t>
  </si>
  <si>
    <t>KELA</t>
  </si>
  <si>
    <t xml:space="preserve"> Keone</t>
  </si>
  <si>
    <t>KELLY, Ryan</t>
  </si>
  <si>
    <t>KENSING, Logan</t>
  </si>
  <si>
    <t>KENSING</t>
  </si>
  <si>
    <t>KNUDSON, Guido</t>
  </si>
  <si>
    <t>KNUDSON</t>
  </si>
  <si>
    <t xml:space="preserve"> Guido</t>
  </si>
  <si>
    <t>LAFFEY, Aaron</t>
  </si>
  <si>
    <t>LAFFEY</t>
  </si>
  <si>
    <t>LAFROMBOISE, Bobby</t>
  </si>
  <si>
    <t>LAFROMBOISE</t>
  </si>
  <si>
    <t>LAMB, John</t>
  </si>
  <si>
    <t>LAMB</t>
  </si>
  <si>
    <t>LAZO, Raudel</t>
  </si>
  <si>
    <t>LAZO</t>
  </si>
  <si>
    <t xml:space="preserve"> Raudel</t>
  </si>
  <si>
    <t>LEATHERSICH, Jack</t>
  </si>
  <si>
    <t>LEATHERSICH</t>
  </si>
  <si>
    <t xml:space="preserve"> Jack</t>
  </si>
  <si>
    <t>LECURE, Sam</t>
  </si>
  <si>
    <t>LECURE</t>
  </si>
  <si>
    <t>LEE, Chen-Chang</t>
  </si>
  <si>
    <t xml:space="preserve"> Chen-Chang</t>
  </si>
  <si>
    <t>LEE, Zach</t>
  </si>
  <si>
    <t>LEON, Arnold</t>
  </si>
  <si>
    <t>LEON</t>
  </si>
  <si>
    <t xml:space="preserve"> Arnold</t>
  </si>
  <si>
    <t>LIBERATORE, Adam</t>
  </si>
  <si>
    <t>LIBERATORE</t>
  </si>
  <si>
    <t>LINDGREN, Jacob</t>
  </si>
  <si>
    <t>LINDGREN</t>
  </si>
  <si>
    <t>LIZ, Radhames</t>
  </si>
  <si>
    <t>LIZ</t>
  </si>
  <si>
    <t xml:space="preserve"> Radhames</t>
  </si>
  <si>
    <t>LOEWEN, Adam</t>
  </si>
  <si>
    <t>LOEWEN</t>
  </si>
  <si>
    <t>LOPEZ, Jorge</t>
  </si>
  <si>
    <t>LORENZEN, Michael</t>
  </si>
  <si>
    <t>LORENZEN</t>
  </si>
  <si>
    <t>MADSON, Ryan</t>
  </si>
  <si>
    <t>MADSON</t>
  </si>
  <si>
    <t>MARCUM, Shaun</t>
  </si>
  <si>
    <t>MARCUM</t>
  </si>
  <si>
    <t xml:space="preserve"> Shaun</t>
  </si>
  <si>
    <t>MARIMON, Sugar Ray</t>
  </si>
  <si>
    <t>MARIMON</t>
  </si>
  <si>
    <t xml:space="preserve"> Sugar Ray</t>
  </si>
  <si>
    <t>MARKSBERRY, Matt</t>
  </si>
  <si>
    <t>MARKSBERRY</t>
  </si>
  <si>
    <t>MARQUIS, Jason</t>
  </si>
  <si>
    <t>MARQUIS</t>
  </si>
  <si>
    <t>MARTIN, Cody</t>
  </si>
  <si>
    <t>MARTIN, Rafael</t>
  </si>
  <si>
    <t>MATEO, Marcos</t>
  </si>
  <si>
    <t>MATEO</t>
  </si>
  <si>
    <t xml:space="preserve"> Marcos</t>
  </si>
  <si>
    <t>MATZ, Steven</t>
  </si>
  <si>
    <t>MATZ</t>
  </si>
  <si>
    <t>6/7*</t>
  </si>
  <si>
    <t>MAZZONI, Cory</t>
  </si>
  <si>
    <t>MAZZONI</t>
  </si>
  <si>
    <t>MCALLISTER, Zach</t>
  </si>
  <si>
    <t>MCALLISTER</t>
  </si>
  <si>
    <t>5/14*</t>
  </si>
  <si>
    <t>MCCARTHY, Brandon</t>
  </si>
  <si>
    <t>MCCARTHY</t>
  </si>
  <si>
    <t>MCCULLERS, Lance</t>
  </si>
  <si>
    <t>MCCULLERS</t>
  </si>
  <si>
    <t>MCFARLAND, T.J.</t>
  </si>
  <si>
    <t>MCFARLAND</t>
  </si>
  <si>
    <t>MCGEE, Jake</t>
  </si>
  <si>
    <t>MCGEE</t>
  </si>
  <si>
    <t>MCGOUGH, Scott</t>
  </si>
  <si>
    <t>MCGOUGH</t>
  </si>
  <si>
    <t>MCGOWAN, Dustin</t>
  </si>
  <si>
    <t>MCGOWAN</t>
  </si>
  <si>
    <t>MCHUGH, Collin</t>
  </si>
  <si>
    <t>MCHUGH</t>
  </si>
  <si>
    <t>MCKIRAHAN, Andrew</t>
  </si>
  <si>
    <t>MCKIRAHAN</t>
  </si>
  <si>
    <t>MEDLEN, Kris</t>
  </si>
  <si>
    <t>MEDLEN</t>
  </si>
  <si>
    <t>MEYER, Alex</t>
  </si>
  <si>
    <t>MEYER</t>
  </si>
  <si>
    <t>MONTAS, Frank</t>
  </si>
  <si>
    <t>MONTAS</t>
  </si>
  <si>
    <t>MONTGOMERY, Mike</t>
  </si>
  <si>
    <t>MONTGOMERY</t>
  </si>
  <si>
    <t>MORENO, Diego</t>
  </si>
  <si>
    <t>MORENO</t>
  </si>
  <si>
    <t xml:space="preserve"> Diego</t>
  </si>
  <si>
    <t>MORGAN, Adam</t>
  </si>
  <si>
    <t>MORGAN</t>
  </si>
  <si>
    <t>MORRIS, Akeel</t>
  </si>
  <si>
    <t xml:space="preserve"> Akeel</t>
  </si>
  <si>
    <t>MOSCOT, Jon</t>
  </si>
  <si>
    <t>MOSCOT</t>
  </si>
  <si>
    <t>MOYLAN, Peter</t>
  </si>
  <si>
    <t>MOYLAN</t>
  </si>
  <si>
    <t xml:space="preserve"> Peter</t>
  </si>
  <si>
    <t>MURATA, Toru</t>
  </si>
  <si>
    <t>MURATA</t>
  </si>
  <si>
    <t xml:space="preserve"> Toru</t>
  </si>
  <si>
    <t>MURRAY, Colton</t>
  </si>
  <si>
    <t>MURRAY</t>
  </si>
  <si>
    <t xml:space="preserve"> Colton</t>
  </si>
  <si>
    <t>NARVESON, Chris</t>
  </si>
  <si>
    <t>NARVESON</t>
  </si>
  <si>
    <t>NESBITT, Angel</t>
  </si>
  <si>
    <t>NESBITT</t>
  </si>
  <si>
    <t>NICOLINO, Justin</t>
  </si>
  <si>
    <t>NICOLINO</t>
  </si>
  <si>
    <t>NOLA, Aaron</t>
  </si>
  <si>
    <t>NOLA</t>
  </si>
  <si>
    <t>6/9*</t>
  </si>
  <si>
    <t>O'ROURKE, Ryan</t>
  </si>
  <si>
    <t>O'ROURKE</t>
  </si>
  <si>
    <t>OBERG, Scott</t>
  </si>
  <si>
    <t>OBERG</t>
  </si>
  <si>
    <t>OGANDO, Nefi</t>
  </si>
  <si>
    <t xml:space="preserve"> Nefi</t>
  </si>
  <si>
    <t>OHLENDORF, Ross</t>
  </si>
  <si>
    <t>OHLENDORF</t>
  </si>
  <si>
    <t>OLMOS, Edgar</t>
  </si>
  <si>
    <t>OLMOS</t>
  </si>
  <si>
    <t>OLSON, Tyler</t>
  </si>
  <si>
    <t>OLSON</t>
  </si>
  <si>
    <t>OSICH, Josh</t>
  </si>
  <si>
    <t>OSICH</t>
  </si>
  <si>
    <t>OSUNA, Roberto</t>
  </si>
  <si>
    <t>OSUNA</t>
  </si>
  <si>
    <t>OWENS, Henry</t>
  </si>
  <si>
    <t>PAZOS, James</t>
  </si>
  <si>
    <t>PAZOS</t>
  </si>
  <si>
    <t>PENA, Ariel</t>
  </si>
  <si>
    <t>PENA</t>
  </si>
  <si>
    <t xml:space="preserve"> Ariel</t>
  </si>
  <si>
    <t>PEREZ, Williams</t>
  </si>
  <si>
    <t xml:space="preserve"> Williams</t>
  </si>
  <si>
    <t>PINDER, Branden</t>
  </si>
  <si>
    <t>PINDER</t>
  </si>
  <si>
    <t xml:space="preserve"> Branden</t>
  </si>
  <si>
    <t>RAMIREZ, J.C.</t>
  </si>
  <si>
    <t xml:space="preserve"> J.C.</t>
  </si>
  <si>
    <t>RAMIREZ, Noe</t>
  </si>
  <si>
    <t xml:space="preserve"> Noe</t>
  </si>
  <si>
    <t>RAVIN, Josh</t>
  </si>
  <si>
    <t>RAVIN</t>
  </si>
  <si>
    <t>REA, Colin</t>
  </si>
  <si>
    <t>REA</t>
  </si>
  <si>
    <t xml:space="preserve"> Colin</t>
  </si>
  <si>
    <t>REARICK, Chris</t>
  </si>
  <si>
    <t>REARICK</t>
  </si>
  <si>
    <t>REED, Chris</t>
  </si>
  <si>
    <t>REYES, Jo-Jo</t>
  </si>
  <si>
    <t>REYES</t>
  </si>
  <si>
    <t xml:space="preserve"> Jo-Jo</t>
  </si>
  <si>
    <t>REYNOLDS, Matt</t>
  </si>
  <si>
    <t>REYNOLDS</t>
  </si>
  <si>
    <t>RICHARD, Clayton</t>
  </si>
  <si>
    <t>RICHARD</t>
  </si>
  <si>
    <t>RIVERO, Felipe</t>
  </si>
  <si>
    <t>RIVERO</t>
  </si>
  <si>
    <t>ROBERTS, Ken</t>
  </si>
  <si>
    <t>ROBERTS</t>
  </si>
  <si>
    <t>ROBLES, Hansel</t>
  </si>
  <si>
    <t>ROBLES</t>
  </si>
  <si>
    <t xml:space="preserve"> Hansel</t>
  </si>
  <si>
    <t>RODON, Carlos</t>
  </si>
  <si>
    <t>RODON</t>
  </si>
  <si>
    <t>RODRIGUEZ, Eduardo</t>
  </si>
  <si>
    <t xml:space="preserve"> Eduardo</t>
  </si>
  <si>
    <t>ROLLINS, David</t>
  </si>
  <si>
    <t>ROLLINS</t>
  </si>
  <si>
    <t>ROMERO, Enny</t>
  </si>
  <si>
    <t>ROMERO</t>
  </si>
  <si>
    <t xml:space="preserve"> Enny</t>
  </si>
  <si>
    <t>RONDON, Bruce</t>
  </si>
  <si>
    <t>ROSS, Joe</t>
  </si>
  <si>
    <t>RUMBELOW, Nick</t>
  </si>
  <si>
    <t>RUMBELOW</t>
  </si>
  <si>
    <t>SAMPSON, Keyvius</t>
  </si>
  <si>
    <t>SAMPSON</t>
  </si>
  <si>
    <t xml:space="preserve"> Keyvius</t>
  </si>
  <si>
    <t>12/15*</t>
  </si>
  <si>
    <t>SCHUGEL, A.J.</t>
  </si>
  <si>
    <t>SCHUGEL</t>
  </si>
  <si>
    <t>SEVERINO, Luis</t>
  </si>
  <si>
    <t>SEVERINO</t>
  </si>
  <si>
    <t>SMITH, Josh</t>
  </si>
  <si>
    <t>SOCOLOVICH, Miguel</t>
  </si>
  <si>
    <t>SOCOLOVICH</t>
  </si>
  <si>
    <t>SOLIS, Sammy</t>
  </si>
  <si>
    <t>SOLIS</t>
  </si>
  <si>
    <t xml:space="preserve"> Sammy</t>
  </si>
  <si>
    <t>SOTO, Giovanni</t>
  </si>
  <si>
    <t>SOTO</t>
  </si>
  <si>
    <t xml:space="preserve"> Giovanni</t>
  </si>
  <si>
    <t>SYNDERGAARD, Noah</t>
  </si>
  <si>
    <t>SYNDERGAARD</t>
  </si>
  <si>
    <t xml:space="preserve"> Noah</t>
  </si>
  <si>
    <t>TEAFORD, Everett</t>
  </si>
  <si>
    <t>TEAFORD</t>
  </si>
  <si>
    <t xml:space="preserve"> Everett</t>
  </si>
  <si>
    <t>TEPERA, Ryan</t>
  </si>
  <si>
    <t>TEPERA</t>
  </si>
  <si>
    <t>TRACY, Matt</t>
  </si>
  <si>
    <t>TRACY</t>
  </si>
  <si>
    <t>TSAO, Chin-hui</t>
  </si>
  <si>
    <t>TSAO</t>
  </si>
  <si>
    <t xml:space="preserve"> Chin-hui</t>
  </si>
  <si>
    <t>URENA, Jose</t>
  </si>
  <si>
    <t>URENA</t>
  </si>
  <si>
    <t>VALDEZ, Jose</t>
  </si>
  <si>
    <t>VALDEZ</t>
  </si>
  <si>
    <t>VELASQUEZ, Vincent</t>
  </si>
  <si>
    <t>VELASQUEZ</t>
  </si>
  <si>
    <t xml:space="preserve"> Vincent</t>
  </si>
  <si>
    <t>VENDITTE, Pat</t>
  </si>
  <si>
    <t>VENDITTE</t>
  </si>
  <si>
    <t>VERHAGEN, Drew</t>
  </si>
  <si>
    <t>VERHAGEN</t>
  </si>
  <si>
    <t>VERRETT, Logan</t>
  </si>
  <si>
    <t>VERRETT</t>
  </si>
  <si>
    <t>6/8*</t>
  </si>
  <si>
    <t>VOLSTAD, Chris</t>
  </si>
  <si>
    <t>VOLSTAD</t>
  </si>
  <si>
    <t>WAGNER, Tyler</t>
  </si>
  <si>
    <t>15/15*</t>
  </si>
  <si>
    <t>11/13*</t>
  </si>
  <si>
    <t>WEBER, Ryan</t>
  </si>
  <si>
    <t>WEBER</t>
  </si>
  <si>
    <t>WILK, Adam</t>
  </si>
  <si>
    <t>WILK</t>
  </si>
  <si>
    <t xml:space="preserve"> 18 </t>
  </si>
  <si>
    <t>8/18*</t>
  </si>
  <si>
    <t>WILSON, Tyler</t>
  </si>
  <si>
    <t>WINKLER, Daniel</t>
  </si>
  <si>
    <t>WINKLER</t>
  </si>
  <si>
    <t>WISLER, Matt</t>
  </si>
  <si>
    <t>WISLER</t>
  </si>
  <si>
    <t>WOJCIECHOWSKI, Asher</t>
  </si>
  <si>
    <t>WOJCIECHOWSKI</t>
  </si>
  <si>
    <t xml:space="preserve"> Asher</t>
  </si>
  <si>
    <t>WRIGHT, Mike</t>
  </si>
  <si>
    <t>ZITO, Barry</t>
  </si>
  <si>
    <t>ZITO</t>
  </si>
  <si>
    <t xml:space="preserve"> Barry</t>
  </si>
  <si>
    <t>ZYCH, Tony</t>
  </si>
  <si>
    <t>ZYCH</t>
  </si>
  <si>
    <t>4/11*</t>
  </si>
  <si>
    <t>McCULLERS, Lance</t>
  </si>
  <si>
    <t>RCR</t>
  </si>
  <si>
    <t>NJJ</t>
  </si>
  <si>
    <t>GCW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</si>
</sst>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0.0"/>
    <numFmt numFmtId="165" formatCode="[$$-409]#,##0.00;[Red]&quot;-&quot;[$$-409]#,##0.00"/>
  </numFmts>
  <fonts count="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8"/>
      <color indexed="10"/>
      <name val="Arial"/>
      <family val="2"/>
    </font>
    <font>
      <sz val="14"/>
      <color indexed="9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0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8"/>
      <name val="Arial"/>
      <family val="2"/>
    </font>
    <font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Arial"/>
      <family val="2"/>
    </font>
    <font>
      <sz val="9"/>
      <color rgb="FF000000"/>
      <name val="Calibri"/>
      <family val="2"/>
      <scheme val="minor"/>
    </font>
    <font>
      <b/>
      <sz val="9"/>
      <name val="Arial"/>
      <family val="2"/>
    </font>
    <font>
      <sz val="9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95">
    <xf numFmtId="0" fontId="0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1" applyNumberFormat="0" applyAlignment="0" applyProtection="0"/>
    <xf numFmtId="0" fontId="9" fillId="16" borderId="1" applyNumberFormat="0" applyAlignment="0" applyProtection="0"/>
    <xf numFmtId="0" fontId="10" fillId="17" borderId="2" applyNumberFormat="0" applyAlignment="0" applyProtection="0"/>
    <xf numFmtId="0" fontId="10" fillId="17" borderId="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" fillId="0" borderId="0"/>
    <xf numFmtId="0" fontId="4" fillId="0" borderId="0"/>
    <xf numFmtId="0" fontId="22" fillId="0" borderId="0"/>
    <xf numFmtId="0" fontId="22" fillId="0" borderId="0"/>
    <xf numFmtId="0" fontId="27" fillId="0" borderId="0"/>
    <xf numFmtId="0" fontId="4" fillId="0" borderId="0"/>
    <xf numFmtId="0" fontId="4" fillId="0" borderId="0"/>
    <xf numFmtId="0" fontId="4" fillId="4" borderId="7" applyNumberFormat="0" applyFont="0" applyAlignment="0" applyProtection="0"/>
    <xf numFmtId="0" fontId="4" fillId="4" borderId="7" applyNumberFormat="0" applyFont="0" applyAlignment="0" applyProtection="0"/>
    <xf numFmtId="0" fontId="22" fillId="4" borderId="7" applyNumberFormat="0" applyFont="0" applyAlignment="0" applyProtection="0"/>
    <xf numFmtId="0" fontId="22" fillId="4" borderId="7" applyNumberFormat="0" applyFont="0" applyAlignment="0" applyProtection="0"/>
    <xf numFmtId="0" fontId="19" fillId="16" borderId="8" applyNumberFormat="0" applyAlignment="0" applyProtection="0"/>
    <xf numFmtId="0" fontId="19" fillId="16" borderId="8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6" fillId="43" borderId="0" applyNumberFormat="0" applyBorder="0" applyAlignment="0" applyProtection="0"/>
    <xf numFmtId="0" fontId="37" fillId="44" borderId="10" applyNumberFormat="0" applyAlignment="0" applyProtection="0"/>
    <xf numFmtId="0" fontId="38" fillId="45" borderId="1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46" borderId="0" applyNumberFormat="0" applyBorder="0" applyAlignment="0" applyProtection="0"/>
    <xf numFmtId="0" fontId="41" fillId="0" borderId="0">
      <alignment horizontal="center"/>
    </xf>
    <xf numFmtId="0" fontId="42" fillId="0" borderId="12" applyNumberFormat="0" applyFill="0" applyAlignment="0" applyProtection="0"/>
    <xf numFmtId="0" fontId="43" fillId="0" borderId="13" applyNumberFormat="0" applyFill="0" applyAlignment="0" applyProtection="0"/>
    <xf numFmtId="0" fontId="44" fillId="0" borderId="14" applyNumberFormat="0" applyFill="0" applyAlignment="0" applyProtection="0"/>
    <xf numFmtId="0" fontId="44" fillId="0" borderId="0" applyNumberFormat="0" applyFill="0" applyBorder="0" applyAlignment="0" applyProtection="0"/>
    <xf numFmtId="0" fontId="41" fillId="0" borderId="0">
      <alignment horizontal="center" textRotation="90"/>
    </xf>
    <xf numFmtId="0" fontId="45" fillId="47" borderId="10" applyNumberFormat="0" applyAlignment="0" applyProtection="0"/>
    <xf numFmtId="0" fontId="46" fillId="0" borderId="15" applyNumberFormat="0" applyFill="0" applyAlignment="0" applyProtection="0"/>
    <xf numFmtId="0" fontId="47" fillId="4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4" borderId="7" applyNumberFormat="0" applyFont="0" applyAlignment="0" applyProtection="0"/>
    <xf numFmtId="0" fontId="4" fillId="4" borderId="7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3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3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3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3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3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2" fillId="49" borderId="16" applyNumberFormat="0" applyFont="0" applyAlignment="0" applyProtection="0"/>
    <xf numFmtId="0" fontId="49" fillId="44" borderId="17" applyNumberFormat="0" applyAlignment="0" applyProtection="0"/>
    <xf numFmtId="0" fontId="50" fillId="0" borderId="0"/>
    <xf numFmtId="165" fontId="50" fillId="0" borderId="0"/>
    <xf numFmtId="0" fontId="51" fillId="0" borderId="0" applyNumberFormat="0" applyFill="0" applyBorder="0" applyAlignment="0" applyProtection="0"/>
    <xf numFmtId="0" fontId="52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  <xf numFmtId="0" fontId="1" fillId="49" borderId="16" applyNumberFormat="0" applyFont="0" applyAlignment="0" applyProtection="0"/>
  </cellStyleXfs>
  <cellXfs count="88">
    <xf numFmtId="0" fontId="0" fillId="0" borderId="0" xfId="0"/>
    <xf numFmtId="0" fontId="5" fillId="0" borderId="0" xfId="0" applyFont="1" applyFill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43" fontId="5" fillId="0" borderId="0" xfId="79" applyFont="1" applyFill="1" applyAlignment="1">
      <alignment horizontal="left"/>
    </xf>
    <xf numFmtId="43" fontId="5" fillId="0" borderId="0" xfId="79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/>
    </xf>
    <xf numFmtId="0" fontId="24" fillId="0" borderId="0" xfId="0" applyFont="1" applyAlignment="1">
      <alignment horizontal="center"/>
    </xf>
    <xf numFmtId="0" fontId="5" fillId="0" borderId="0" xfId="0" applyFont="1" applyFill="1"/>
    <xf numFmtId="43" fontId="5" fillId="0" borderId="0" xfId="79" applyFont="1"/>
    <xf numFmtId="0" fontId="23" fillId="18" borderId="0" xfId="0" applyFont="1" applyFill="1"/>
    <xf numFmtId="0" fontId="24" fillId="0" borderId="0" xfId="0" applyFont="1" applyFill="1" applyAlignment="1">
      <alignment horizontal="center"/>
    </xf>
    <xf numFmtId="0" fontId="5" fillId="0" borderId="0" xfId="0" applyFont="1" applyAlignment="1"/>
    <xf numFmtId="164" fontId="5" fillId="0" borderId="0" xfId="0" applyNumberFormat="1" applyFont="1" applyFill="1" applyAlignment="1">
      <alignment horizontal="right"/>
    </xf>
    <xf numFmtId="0" fontId="5" fillId="0" borderId="0" xfId="0" applyFont="1" applyProtection="1">
      <protection locked="0"/>
    </xf>
    <xf numFmtId="0" fontId="25" fillId="18" borderId="0" xfId="0" applyFont="1" applyFill="1" applyAlignment="1">
      <alignment horizontal="center"/>
    </xf>
    <xf numFmtId="0" fontId="5" fillId="0" borderId="0" xfId="0" applyFont="1" applyAlignment="1" applyProtection="1"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protection locked="0"/>
    </xf>
    <xf numFmtId="1" fontId="5" fillId="0" borderId="0" xfId="106" applyNumberFormat="1" applyFont="1" applyBorder="1" applyAlignment="1" applyProtection="1">
      <protection locked="0"/>
    </xf>
    <xf numFmtId="0" fontId="5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protection locked="0"/>
    </xf>
    <xf numFmtId="1" fontId="5" fillId="0" borderId="0" xfId="107" applyNumberFormat="1" applyFont="1" applyAlignment="1"/>
    <xf numFmtId="1" fontId="5" fillId="0" borderId="0" xfId="0" applyNumberFormat="1" applyFont="1" applyFill="1" applyBorder="1" applyAlignment="1" applyProtection="1">
      <alignment horizontal="right"/>
      <protection locked="0"/>
    </xf>
    <xf numFmtId="1" fontId="5" fillId="0" borderId="0" xfId="79" applyNumberFormat="1" applyFont="1" applyBorder="1" applyAlignment="1" applyProtection="1">
      <alignment horizontal="right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Border="1" applyAlignment="1"/>
    <xf numFmtId="43" fontId="5" fillId="0" borderId="0" xfId="79" applyFont="1" applyFill="1" applyAlignment="1"/>
    <xf numFmtId="0" fontId="5" fillId="0" borderId="0" xfId="0" applyNumberFormat="1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/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0" applyFont="1" applyFill="1" applyBorder="1"/>
    <xf numFmtId="43" fontId="4" fillId="0" borderId="0" xfId="79" applyFont="1" applyFill="1" applyAlignment="1">
      <alignment horizontal="left"/>
    </xf>
    <xf numFmtId="0" fontId="4" fillId="0" borderId="0" xfId="0" applyFont="1"/>
    <xf numFmtId="0" fontId="4" fillId="0" borderId="0" xfId="0" applyFont="1" applyAlignment="1"/>
    <xf numFmtId="0" fontId="26" fillId="0" borderId="0" xfId="0" applyFont="1" applyFill="1" applyBorder="1" applyAlignment="1" applyProtection="1">
      <alignment horizontal="center"/>
      <protection locked="0"/>
    </xf>
    <xf numFmtId="43" fontId="32" fillId="0" borderId="0" xfId="79" applyFont="1" applyFill="1" applyAlignment="1"/>
    <xf numFmtId="0" fontId="33" fillId="0" borderId="0" xfId="0" applyFont="1"/>
    <xf numFmtId="0" fontId="26" fillId="0" borderId="0" xfId="0" applyFont="1" applyFill="1" applyBorder="1" applyAlignment="1" applyProtection="1">
      <alignment horizontal="left"/>
    </xf>
    <xf numFmtId="0" fontId="31" fillId="0" borderId="0" xfId="0" applyFont="1" applyAlignment="1">
      <alignment horizontal="center"/>
    </xf>
    <xf numFmtId="0" fontId="26" fillId="0" borderId="0" xfId="0" applyFont="1" applyFill="1" applyBorder="1" applyAlignment="1" applyProtection="1">
      <alignment horizontal="center"/>
    </xf>
    <xf numFmtId="0" fontId="26" fillId="0" borderId="0" xfId="0" applyFont="1" applyAlignment="1">
      <alignment horizontal="center"/>
    </xf>
    <xf numFmtId="1" fontId="26" fillId="0" borderId="0" xfId="106" applyNumberFormat="1" applyFont="1" applyBorder="1" applyAlignment="1" applyProtection="1">
      <alignment horizontal="center"/>
      <protection locked="0"/>
    </xf>
    <xf numFmtId="1" fontId="26" fillId="0" borderId="0" xfId="0" applyNumberFormat="1" applyFont="1" applyFill="1" applyBorder="1" applyAlignment="1" applyProtection="1">
      <alignment horizontal="center"/>
      <protection locked="0"/>
    </xf>
    <xf numFmtId="1" fontId="26" fillId="0" borderId="0" xfId="79" applyNumberFormat="1" applyFont="1" applyBorder="1" applyAlignment="1" applyProtection="1">
      <alignment horizontal="center"/>
      <protection locked="0"/>
    </xf>
    <xf numFmtId="0" fontId="26" fillId="0" borderId="0" xfId="0" quotePrefix="1" applyFont="1" applyBorder="1" applyAlignment="1" applyProtection="1">
      <alignment horizontal="center"/>
    </xf>
    <xf numFmtId="0" fontId="26" fillId="0" borderId="0" xfId="0" quotePrefix="1" applyFont="1" applyFill="1" applyBorder="1" applyAlignment="1" applyProtection="1">
      <alignment horizontal="center"/>
    </xf>
    <xf numFmtId="0" fontId="26" fillId="0" borderId="0" xfId="0" applyFont="1" applyBorder="1" applyAlignment="1" applyProtection="1">
      <alignment horizontal="center"/>
    </xf>
    <xf numFmtId="49" fontId="34" fillId="0" borderId="0" xfId="120" applyNumberFormat="1" applyFont="1" applyFill="1" applyAlignment="1">
      <alignment horizontal="center" vertical="center" wrapText="1"/>
    </xf>
    <xf numFmtId="0" fontId="34" fillId="0" borderId="0" xfId="120" applyFont="1" applyFill="1" applyAlignment="1">
      <alignment horizontal="left" vertical="center" wrapText="1"/>
    </xf>
    <xf numFmtId="49" fontId="34" fillId="0" borderId="0" xfId="120" applyNumberFormat="1" applyFont="1" applyFill="1" applyAlignment="1">
      <alignment horizontal="left" vertical="center" wrapText="1"/>
    </xf>
    <xf numFmtId="0" fontId="34" fillId="0" borderId="0" xfId="120" applyNumberFormat="1" applyFont="1" applyFill="1" applyAlignment="1">
      <alignment horizontal="center" vertical="center" wrapText="1"/>
    </xf>
    <xf numFmtId="0" fontId="34" fillId="0" borderId="0" xfId="120" applyFont="1" applyFill="1" applyAlignment="1">
      <alignment horizontal="center" vertical="center" wrapText="1"/>
    </xf>
    <xf numFmtId="0" fontId="2" fillId="0" borderId="0" xfId="120" applyAlignment="1">
      <alignment horizontal="center" vertical="center" wrapText="1"/>
    </xf>
    <xf numFmtId="0" fontId="2" fillId="0" borderId="0" xfId="120" applyNumberFormat="1" applyFont="1" applyAlignment="1">
      <alignment horizontal="center" vertical="center"/>
    </xf>
    <xf numFmtId="0" fontId="2" fillId="0" borderId="0" xfId="120" applyFont="1" applyAlignment="1">
      <alignment horizontal="left" vertical="center"/>
    </xf>
    <xf numFmtId="49" fontId="2" fillId="0" borderId="0" xfId="120" applyNumberFormat="1" applyFont="1" applyAlignment="1">
      <alignment horizontal="left" vertical="center"/>
    </xf>
    <xf numFmtId="0" fontId="2" fillId="0" borderId="0" xfId="120" applyNumberFormat="1" applyFont="1" applyAlignment="1">
      <alignment horizontal="left" vertical="center"/>
    </xf>
    <xf numFmtId="0" fontId="2" fillId="0" borderId="0" xfId="120"/>
    <xf numFmtId="0" fontId="2" fillId="0" borderId="0" xfId="120" applyAlignment="1">
      <alignment horizontal="left"/>
    </xf>
    <xf numFmtId="0" fontId="53" fillId="0" borderId="0" xfId="0" applyFont="1" applyAlignment="1">
      <alignment horizontal="center"/>
    </xf>
    <xf numFmtId="0" fontId="54" fillId="0" borderId="0" xfId="0" applyFont="1" applyFill="1" applyAlignment="1">
      <alignment horizontal="center"/>
    </xf>
    <xf numFmtId="0" fontId="55" fillId="0" borderId="0" xfId="0" applyFont="1"/>
    <xf numFmtId="0" fontId="56" fillId="0" borderId="0" xfId="0" applyFont="1" applyFill="1" applyAlignment="1">
      <alignment horizontal="center"/>
    </xf>
    <xf numFmtId="43" fontId="54" fillId="0" borderId="0" xfId="79" applyFont="1" applyFill="1" applyAlignment="1">
      <alignment horizontal="center"/>
    </xf>
    <xf numFmtId="0" fontId="54" fillId="0" borderId="0" xfId="0" applyFont="1" applyAlignment="1">
      <alignment horizontal="center"/>
    </xf>
    <xf numFmtId="43" fontId="54" fillId="0" borderId="0" xfId="79" applyFont="1" applyFill="1" applyAlignment="1">
      <alignment horizontal="left"/>
    </xf>
    <xf numFmtId="0" fontId="54" fillId="0" borderId="0" xfId="0" applyFont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Border="1"/>
    <xf numFmtId="0" fontId="4" fillId="0" borderId="0" xfId="0" applyFont="1" applyFill="1"/>
    <xf numFmtId="0" fontId="0" fillId="0" borderId="0" xfId="0" applyAlignment="1"/>
    <xf numFmtId="0" fontId="48" fillId="0" borderId="0" xfId="0" applyFont="1"/>
    <xf numFmtId="0" fontId="4" fillId="0" borderId="0" xfId="0" applyFont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33" fillId="0" borderId="0" xfId="3209" applyFont="1"/>
    <xf numFmtId="0" fontId="26" fillId="0" borderId="0" xfId="0" applyFont="1" applyFill="1" applyBorder="1" applyAlignment="1" applyProtection="1">
      <alignment horizontal="left"/>
      <protection locked="0"/>
    </xf>
    <xf numFmtId="0" fontId="26" fillId="0" borderId="0" xfId="0" applyFont="1" applyBorder="1" applyAlignment="1" applyProtection="1">
      <alignment horizontal="left"/>
      <protection locked="0"/>
    </xf>
    <xf numFmtId="0" fontId="57" fillId="0" borderId="0" xfId="0" applyFont="1" applyFill="1" applyBorder="1" applyAlignment="1" applyProtection="1">
      <alignment horizontal="left"/>
      <protection locked="0"/>
    </xf>
    <xf numFmtId="0" fontId="33" fillId="0" borderId="0" xfId="3594" applyFont="1"/>
    <xf numFmtId="0" fontId="48" fillId="0" borderId="0" xfId="3594" applyFont="1"/>
  </cellXfs>
  <cellStyles count="8695">
    <cellStyle name="20% - Accent1" xfId="1" builtinId="30" customBuiltin="1"/>
    <cellStyle name="20% - Accent1 2" xfId="2"/>
    <cellStyle name="20% - Accent1 2 2" xfId="3"/>
    <cellStyle name="20% - Accent1 3" xfId="4"/>
    <cellStyle name="20% - Accent1 4" xfId="121"/>
    <cellStyle name="20% - Accent1 4 10" xfId="122"/>
    <cellStyle name="20% - Accent1 4 10 2" xfId="123"/>
    <cellStyle name="20% - Accent1 4 10 2 2" xfId="4434"/>
    <cellStyle name="20% - Accent1 4 10 3" xfId="4433"/>
    <cellStyle name="20% - Accent1 4 11" xfId="124"/>
    <cellStyle name="20% - Accent1 4 11 2" xfId="125"/>
    <cellStyle name="20% - Accent1 4 11 2 2" xfId="4436"/>
    <cellStyle name="20% - Accent1 4 11 3" xfId="4435"/>
    <cellStyle name="20% - Accent1 4 12" xfId="126"/>
    <cellStyle name="20% - Accent1 4 12 2" xfId="127"/>
    <cellStyle name="20% - Accent1 4 12 2 2" xfId="4438"/>
    <cellStyle name="20% - Accent1 4 12 3" xfId="4437"/>
    <cellStyle name="20% - Accent1 4 13" xfId="128"/>
    <cellStyle name="20% - Accent1 4 13 2" xfId="129"/>
    <cellStyle name="20% - Accent1 4 13 2 2" xfId="4440"/>
    <cellStyle name="20% - Accent1 4 13 3" xfId="4439"/>
    <cellStyle name="20% - Accent1 4 14" xfId="130"/>
    <cellStyle name="20% - Accent1 4 14 2" xfId="131"/>
    <cellStyle name="20% - Accent1 4 14 2 2" xfId="4442"/>
    <cellStyle name="20% - Accent1 4 14 3" xfId="4441"/>
    <cellStyle name="20% - Accent1 4 15" xfId="132"/>
    <cellStyle name="20% - Accent1 4 15 2" xfId="133"/>
    <cellStyle name="20% - Accent1 4 15 2 2" xfId="4444"/>
    <cellStyle name="20% - Accent1 4 15 3" xfId="4443"/>
    <cellStyle name="20% - Accent1 4 16" xfId="134"/>
    <cellStyle name="20% - Accent1 4 16 2" xfId="135"/>
    <cellStyle name="20% - Accent1 4 16 2 2" xfId="4446"/>
    <cellStyle name="20% - Accent1 4 16 3" xfId="4445"/>
    <cellStyle name="20% - Accent1 4 17" xfId="136"/>
    <cellStyle name="20% - Accent1 4 17 2" xfId="137"/>
    <cellStyle name="20% - Accent1 4 17 2 2" xfId="4448"/>
    <cellStyle name="20% - Accent1 4 17 3" xfId="4447"/>
    <cellStyle name="20% - Accent1 4 18" xfId="138"/>
    <cellStyle name="20% - Accent1 4 18 2" xfId="139"/>
    <cellStyle name="20% - Accent1 4 18 2 2" xfId="4450"/>
    <cellStyle name="20% - Accent1 4 18 3" xfId="4449"/>
    <cellStyle name="20% - Accent1 4 19" xfId="140"/>
    <cellStyle name="20% - Accent1 4 19 2" xfId="4451"/>
    <cellStyle name="20% - Accent1 4 2" xfId="141"/>
    <cellStyle name="20% - Accent1 4 2 2" xfId="142"/>
    <cellStyle name="20% - Accent1 4 2 2 2" xfId="143"/>
    <cellStyle name="20% - Accent1 4 2 2 2 2" xfId="4454"/>
    <cellStyle name="20% - Accent1 4 2 2 3" xfId="4453"/>
    <cellStyle name="20% - Accent1 4 2 3" xfId="144"/>
    <cellStyle name="20% - Accent1 4 2 3 2" xfId="4455"/>
    <cellStyle name="20% - Accent1 4 2 4" xfId="4452"/>
    <cellStyle name="20% - Accent1 4 20" xfId="145"/>
    <cellStyle name="20% - Accent1 4 20 2" xfId="4456"/>
    <cellStyle name="20% - Accent1 4 21" xfId="4432"/>
    <cellStyle name="20% - Accent1 4 3" xfId="146"/>
    <cellStyle name="20% - Accent1 4 3 2" xfId="147"/>
    <cellStyle name="20% - Accent1 4 3 2 2" xfId="148"/>
    <cellStyle name="20% - Accent1 4 3 2 2 2" xfId="4459"/>
    <cellStyle name="20% - Accent1 4 3 2 3" xfId="4458"/>
    <cellStyle name="20% - Accent1 4 3 3" xfId="149"/>
    <cellStyle name="20% - Accent1 4 3 3 2" xfId="4460"/>
    <cellStyle name="20% - Accent1 4 3 4" xfId="4457"/>
    <cellStyle name="20% - Accent1 4 4" xfId="150"/>
    <cellStyle name="20% - Accent1 4 4 2" xfId="151"/>
    <cellStyle name="20% - Accent1 4 4 2 2" xfId="152"/>
    <cellStyle name="20% - Accent1 4 4 2 2 2" xfId="4463"/>
    <cellStyle name="20% - Accent1 4 4 2 3" xfId="4462"/>
    <cellStyle name="20% - Accent1 4 4 3" xfId="153"/>
    <cellStyle name="20% - Accent1 4 4 3 2" xfId="4464"/>
    <cellStyle name="20% - Accent1 4 4 4" xfId="4461"/>
    <cellStyle name="20% - Accent1 4 5" xfId="154"/>
    <cellStyle name="20% - Accent1 4 5 2" xfId="155"/>
    <cellStyle name="20% - Accent1 4 5 2 2" xfId="156"/>
    <cellStyle name="20% - Accent1 4 5 2 2 2" xfId="4467"/>
    <cellStyle name="20% - Accent1 4 5 2 3" xfId="4466"/>
    <cellStyle name="20% - Accent1 4 5 3" xfId="157"/>
    <cellStyle name="20% - Accent1 4 5 3 2" xfId="4468"/>
    <cellStyle name="20% - Accent1 4 5 4" xfId="4465"/>
    <cellStyle name="20% - Accent1 4 6" xfId="158"/>
    <cellStyle name="20% - Accent1 4 6 2" xfId="159"/>
    <cellStyle name="20% - Accent1 4 6 2 2" xfId="160"/>
    <cellStyle name="20% - Accent1 4 6 2 2 2" xfId="4471"/>
    <cellStyle name="20% - Accent1 4 6 2 3" xfId="4470"/>
    <cellStyle name="20% - Accent1 4 6 3" xfId="161"/>
    <cellStyle name="20% - Accent1 4 6 3 2" xfId="4472"/>
    <cellStyle name="20% - Accent1 4 6 4" xfId="4469"/>
    <cellStyle name="20% - Accent1 4 7" xfId="162"/>
    <cellStyle name="20% - Accent1 4 7 2" xfId="163"/>
    <cellStyle name="20% - Accent1 4 7 2 2" xfId="164"/>
    <cellStyle name="20% - Accent1 4 7 2 2 2" xfId="4475"/>
    <cellStyle name="20% - Accent1 4 7 2 3" xfId="4474"/>
    <cellStyle name="20% - Accent1 4 7 3" xfId="165"/>
    <cellStyle name="20% - Accent1 4 7 3 2" xfId="4476"/>
    <cellStyle name="20% - Accent1 4 7 4" xfId="4473"/>
    <cellStyle name="20% - Accent1 4 8" xfId="166"/>
    <cellStyle name="20% - Accent1 4 8 2" xfId="167"/>
    <cellStyle name="20% - Accent1 4 8 2 2" xfId="168"/>
    <cellStyle name="20% - Accent1 4 8 2 2 2" xfId="4479"/>
    <cellStyle name="20% - Accent1 4 8 2 3" xfId="4478"/>
    <cellStyle name="20% - Accent1 4 8 3" xfId="169"/>
    <cellStyle name="20% - Accent1 4 8 3 2" xfId="4480"/>
    <cellStyle name="20% - Accent1 4 8 4" xfId="4477"/>
    <cellStyle name="20% - Accent1 4 9" xfId="170"/>
    <cellStyle name="20% - Accent1 4 9 2" xfId="171"/>
    <cellStyle name="20% - Accent1 4 9 2 2" xfId="4482"/>
    <cellStyle name="20% - Accent1 4 9 3" xfId="4481"/>
    <cellStyle name="20% - Accent1 5" xfId="172"/>
    <cellStyle name="20% - Accent1 5 10" xfId="173"/>
    <cellStyle name="20% - Accent1 5 10 2" xfId="174"/>
    <cellStyle name="20% - Accent1 5 10 2 2" xfId="4485"/>
    <cellStyle name="20% - Accent1 5 10 3" xfId="4484"/>
    <cellStyle name="20% - Accent1 5 11" xfId="175"/>
    <cellStyle name="20% - Accent1 5 11 2" xfId="176"/>
    <cellStyle name="20% - Accent1 5 11 2 2" xfId="4487"/>
    <cellStyle name="20% - Accent1 5 11 3" xfId="4486"/>
    <cellStyle name="20% - Accent1 5 12" xfId="177"/>
    <cellStyle name="20% - Accent1 5 12 2" xfId="178"/>
    <cellStyle name="20% - Accent1 5 12 2 2" xfId="4489"/>
    <cellStyle name="20% - Accent1 5 12 3" xfId="4488"/>
    <cellStyle name="20% - Accent1 5 13" xfId="179"/>
    <cellStyle name="20% - Accent1 5 13 2" xfId="180"/>
    <cellStyle name="20% - Accent1 5 13 2 2" xfId="4491"/>
    <cellStyle name="20% - Accent1 5 13 3" xfId="4490"/>
    <cellStyle name="20% - Accent1 5 14" xfId="181"/>
    <cellStyle name="20% - Accent1 5 14 2" xfId="182"/>
    <cellStyle name="20% - Accent1 5 14 2 2" xfId="4493"/>
    <cellStyle name="20% - Accent1 5 14 3" xfId="4492"/>
    <cellStyle name="20% - Accent1 5 15" xfId="183"/>
    <cellStyle name="20% - Accent1 5 15 2" xfId="184"/>
    <cellStyle name="20% - Accent1 5 15 2 2" xfId="4495"/>
    <cellStyle name="20% - Accent1 5 15 3" xfId="4494"/>
    <cellStyle name="20% - Accent1 5 16" xfId="185"/>
    <cellStyle name="20% - Accent1 5 16 2" xfId="186"/>
    <cellStyle name="20% - Accent1 5 16 2 2" xfId="4497"/>
    <cellStyle name="20% - Accent1 5 16 3" xfId="4496"/>
    <cellStyle name="20% - Accent1 5 17" xfId="187"/>
    <cellStyle name="20% - Accent1 5 17 2" xfId="188"/>
    <cellStyle name="20% - Accent1 5 17 2 2" xfId="4499"/>
    <cellStyle name="20% - Accent1 5 17 3" xfId="4498"/>
    <cellStyle name="20% - Accent1 5 18" xfId="189"/>
    <cellStyle name="20% - Accent1 5 18 2" xfId="190"/>
    <cellStyle name="20% - Accent1 5 18 2 2" xfId="4501"/>
    <cellStyle name="20% - Accent1 5 18 3" xfId="4500"/>
    <cellStyle name="20% - Accent1 5 19" xfId="191"/>
    <cellStyle name="20% - Accent1 5 19 2" xfId="4502"/>
    <cellStyle name="20% - Accent1 5 2" xfId="192"/>
    <cellStyle name="20% - Accent1 5 2 2" xfId="193"/>
    <cellStyle name="20% - Accent1 5 2 2 2" xfId="194"/>
    <cellStyle name="20% - Accent1 5 2 2 2 2" xfId="4505"/>
    <cellStyle name="20% - Accent1 5 2 2 3" xfId="4504"/>
    <cellStyle name="20% - Accent1 5 2 3" xfId="195"/>
    <cellStyle name="20% - Accent1 5 2 3 2" xfId="4506"/>
    <cellStyle name="20% - Accent1 5 2 4" xfId="4503"/>
    <cellStyle name="20% - Accent1 5 20" xfId="196"/>
    <cellStyle name="20% - Accent1 5 20 2" xfId="4507"/>
    <cellStyle name="20% - Accent1 5 21" xfId="4483"/>
    <cellStyle name="20% - Accent1 5 3" xfId="197"/>
    <cellStyle name="20% - Accent1 5 3 2" xfId="198"/>
    <cellStyle name="20% - Accent1 5 3 2 2" xfId="199"/>
    <cellStyle name="20% - Accent1 5 3 2 2 2" xfId="4510"/>
    <cellStyle name="20% - Accent1 5 3 2 3" xfId="4509"/>
    <cellStyle name="20% - Accent1 5 3 3" xfId="200"/>
    <cellStyle name="20% - Accent1 5 3 3 2" xfId="4511"/>
    <cellStyle name="20% - Accent1 5 3 4" xfId="4508"/>
    <cellStyle name="20% - Accent1 5 4" xfId="201"/>
    <cellStyle name="20% - Accent1 5 4 2" xfId="202"/>
    <cellStyle name="20% - Accent1 5 4 2 2" xfId="203"/>
    <cellStyle name="20% - Accent1 5 4 2 2 2" xfId="4514"/>
    <cellStyle name="20% - Accent1 5 4 2 3" xfId="4513"/>
    <cellStyle name="20% - Accent1 5 4 3" xfId="204"/>
    <cellStyle name="20% - Accent1 5 4 3 2" xfId="4515"/>
    <cellStyle name="20% - Accent1 5 4 4" xfId="4512"/>
    <cellStyle name="20% - Accent1 5 5" xfId="205"/>
    <cellStyle name="20% - Accent1 5 5 2" xfId="206"/>
    <cellStyle name="20% - Accent1 5 5 2 2" xfId="207"/>
    <cellStyle name="20% - Accent1 5 5 2 2 2" xfId="4518"/>
    <cellStyle name="20% - Accent1 5 5 2 3" xfId="4517"/>
    <cellStyle name="20% - Accent1 5 5 3" xfId="208"/>
    <cellStyle name="20% - Accent1 5 5 3 2" xfId="4519"/>
    <cellStyle name="20% - Accent1 5 5 4" xfId="4516"/>
    <cellStyle name="20% - Accent1 5 6" xfId="209"/>
    <cellStyle name="20% - Accent1 5 6 2" xfId="210"/>
    <cellStyle name="20% - Accent1 5 6 2 2" xfId="211"/>
    <cellStyle name="20% - Accent1 5 6 2 2 2" xfId="4522"/>
    <cellStyle name="20% - Accent1 5 6 2 3" xfId="4521"/>
    <cellStyle name="20% - Accent1 5 6 3" xfId="212"/>
    <cellStyle name="20% - Accent1 5 6 3 2" xfId="4523"/>
    <cellStyle name="20% - Accent1 5 6 4" xfId="4520"/>
    <cellStyle name="20% - Accent1 5 7" xfId="213"/>
    <cellStyle name="20% - Accent1 5 7 2" xfId="214"/>
    <cellStyle name="20% - Accent1 5 7 2 2" xfId="215"/>
    <cellStyle name="20% - Accent1 5 7 2 2 2" xfId="4526"/>
    <cellStyle name="20% - Accent1 5 7 2 3" xfId="4525"/>
    <cellStyle name="20% - Accent1 5 7 3" xfId="216"/>
    <cellStyle name="20% - Accent1 5 7 3 2" xfId="4527"/>
    <cellStyle name="20% - Accent1 5 7 4" xfId="4524"/>
    <cellStyle name="20% - Accent1 5 8" xfId="217"/>
    <cellStyle name="20% - Accent1 5 8 2" xfId="218"/>
    <cellStyle name="20% - Accent1 5 8 2 2" xfId="219"/>
    <cellStyle name="20% - Accent1 5 8 2 2 2" xfId="4530"/>
    <cellStyle name="20% - Accent1 5 8 2 3" xfId="4529"/>
    <cellStyle name="20% - Accent1 5 8 3" xfId="220"/>
    <cellStyle name="20% - Accent1 5 8 3 2" xfId="4531"/>
    <cellStyle name="20% - Accent1 5 8 4" xfId="4528"/>
    <cellStyle name="20% - Accent1 5 9" xfId="221"/>
    <cellStyle name="20% - Accent1 5 9 2" xfId="222"/>
    <cellStyle name="20% - Accent1 5 9 2 2" xfId="4533"/>
    <cellStyle name="20% - Accent1 5 9 3" xfId="4532"/>
    <cellStyle name="20% - Accent1 6" xfId="223"/>
    <cellStyle name="20% - Accent1 6 10" xfId="224"/>
    <cellStyle name="20% - Accent1 6 10 2" xfId="225"/>
    <cellStyle name="20% - Accent1 6 10 2 2" xfId="4536"/>
    <cellStyle name="20% - Accent1 6 10 3" xfId="4535"/>
    <cellStyle name="20% - Accent1 6 11" xfId="226"/>
    <cellStyle name="20% - Accent1 6 11 2" xfId="227"/>
    <cellStyle name="20% - Accent1 6 11 2 2" xfId="4538"/>
    <cellStyle name="20% - Accent1 6 11 3" xfId="4537"/>
    <cellStyle name="20% - Accent1 6 12" xfId="228"/>
    <cellStyle name="20% - Accent1 6 12 2" xfId="229"/>
    <cellStyle name="20% - Accent1 6 12 2 2" xfId="4540"/>
    <cellStyle name="20% - Accent1 6 12 3" xfId="4539"/>
    <cellStyle name="20% - Accent1 6 13" xfId="230"/>
    <cellStyle name="20% - Accent1 6 13 2" xfId="231"/>
    <cellStyle name="20% - Accent1 6 13 2 2" xfId="4542"/>
    <cellStyle name="20% - Accent1 6 13 3" xfId="4541"/>
    <cellStyle name="20% - Accent1 6 14" xfId="232"/>
    <cellStyle name="20% - Accent1 6 14 2" xfId="233"/>
    <cellStyle name="20% - Accent1 6 14 2 2" xfId="4544"/>
    <cellStyle name="20% - Accent1 6 14 3" xfId="4543"/>
    <cellStyle name="20% - Accent1 6 15" xfId="234"/>
    <cellStyle name="20% - Accent1 6 15 2" xfId="235"/>
    <cellStyle name="20% - Accent1 6 15 2 2" xfId="4546"/>
    <cellStyle name="20% - Accent1 6 15 3" xfId="4545"/>
    <cellStyle name="20% - Accent1 6 16" xfId="236"/>
    <cellStyle name="20% - Accent1 6 16 2" xfId="237"/>
    <cellStyle name="20% - Accent1 6 16 2 2" xfId="4548"/>
    <cellStyle name="20% - Accent1 6 16 3" xfId="4547"/>
    <cellStyle name="20% - Accent1 6 17" xfId="238"/>
    <cellStyle name="20% - Accent1 6 17 2" xfId="239"/>
    <cellStyle name="20% - Accent1 6 17 2 2" xfId="4550"/>
    <cellStyle name="20% - Accent1 6 17 3" xfId="4549"/>
    <cellStyle name="20% - Accent1 6 18" xfId="240"/>
    <cellStyle name="20% - Accent1 6 18 2" xfId="241"/>
    <cellStyle name="20% - Accent1 6 18 2 2" xfId="4552"/>
    <cellStyle name="20% - Accent1 6 18 3" xfId="4551"/>
    <cellStyle name="20% - Accent1 6 19" xfId="242"/>
    <cellStyle name="20% - Accent1 6 19 2" xfId="4553"/>
    <cellStyle name="20% - Accent1 6 2" xfId="243"/>
    <cellStyle name="20% - Accent1 6 2 2" xfId="244"/>
    <cellStyle name="20% - Accent1 6 2 2 2" xfId="245"/>
    <cellStyle name="20% - Accent1 6 2 2 2 2" xfId="4556"/>
    <cellStyle name="20% - Accent1 6 2 2 3" xfId="4555"/>
    <cellStyle name="20% - Accent1 6 2 3" xfId="246"/>
    <cellStyle name="20% - Accent1 6 2 3 2" xfId="4557"/>
    <cellStyle name="20% - Accent1 6 2 4" xfId="4554"/>
    <cellStyle name="20% - Accent1 6 20" xfId="247"/>
    <cellStyle name="20% - Accent1 6 20 2" xfId="4558"/>
    <cellStyle name="20% - Accent1 6 21" xfId="4534"/>
    <cellStyle name="20% - Accent1 6 3" xfId="248"/>
    <cellStyle name="20% - Accent1 6 3 2" xfId="249"/>
    <cellStyle name="20% - Accent1 6 3 2 2" xfId="250"/>
    <cellStyle name="20% - Accent1 6 3 2 2 2" xfId="4561"/>
    <cellStyle name="20% - Accent1 6 3 2 3" xfId="4560"/>
    <cellStyle name="20% - Accent1 6 3 3" xfId="251"/>
    <cellStyle name="20% - Accent1 6 3 3 2" xfId="4562"/>
    <cellStyle name="20% - Accent1 6 3 4" xfId="4559"/>
    <cellStyle name="20% - Accent1 6 4" xfId="252"/>
    <cellStyle name="20% - Accent1 6 4 2" xfId="253"/>
    <cellStyle name="20% - Accent1 6 4 2 2" xfId="254"/>
    <cellStyle name="20% - Accent1 6 4 2 2 2" xfId="4565"/>
    <cellStyle name="20% - Accent1 6 4 2 3" xfId="4564"/>
    <cellStyle name="20% - Accent1 6 4 3" xfId="255"/>
    <cellStyle name="20% - Accent1 6 4 3 2" xfId="4566"/>
    <cellStyle name="20% - Accent1 6 4 4" xfId="4563"/>
    <cellStyle name="20% - Accent1 6 5" xfId="256"/>
    <cellStyle name="20% - Accent1 6 5 2" xfId="257"/>
    <cellStyle name="20% - Accent1 6 5 2 2" xfId="258"/>
    <cellStyle name="20% - Accent1 6 5 2 2 2" xfId="4569"/>
    <cellStyle name="20% - Accent1 6 5 2 3" xfId="4568"/>
    <cellStyle name="20% - Accent1 6 5 3" xfId="259"/>
    <cellStyle name="20% - Accent1 6 5 3 2" xfId="4570"/>
    <cellStyle name="20% - Accent1 6 5 4" xfId="4567"/>
    <cellStyle name="20% - Accent1 6 6" xfId="260"/>
    <cellStyle name="20% - Accent1 6 6 2" xfId="261"/>
    <cellStyle name="20% - Accent1 6 6 2 2" xfId="262"/>
    <cellStyle name="20% - Accent1 6 6 2 2 2" xfId="4573"/>
    <cellStyle name="20% - Accent1 6 6 2 3" xfId="4572"/>
    <cellStyle name="20% - Accent1 6 6 3" xfId="263"/>
    <cellStyle name="20% - Accent1 6 6 3 2" xfId="4574"/>
    <cellStyle name="20% - Accent1 6 6 4" xfId="4571"/>
    <cellStyle name="20% - Accent1 6 7" xfId="264"/>
    <cellStyle name="20% - Accent1 6 7 2" xfId="265"/>
    <cellStyle name="20% - Accent1 6 7 2 2" xfId="266"/>
    <cellStyle name="20% - Accent1 6 7 2 2 2" xfId="4577"/>
    <cellStyle name="20% - Accent1 6 7 2 3" xfId="4576"/>
    <cellStyle name="20% - Accent1 6 7 3" xfId="267"/>
    <cellStyle name="20% - Accent1 6 7 3 2" xfId="4578"/>
    <cellStyle name="20% - Accent1 6 7 4" xfId="4575"/>
    <cellStyle name="20% - Accent1 6 8" xfId="268"/>
    <cellStyle name="20% - Accent1 6 8 2" xfId="269"/>
    <cellStyle name="20% - Accent1 6 8 2 2" xfId="270"/>
    <cellStyle name="20% - Accent1 6 8 2 2 2" xfId="4581"/>
    <cellStyle name="20% - Accent1 6 8 2 3" xfId="4580"/>
    <cellStyle name="20% - Accent1 6 8 3" xfId="271"/>
    <cellStyle name="20% - Accent1 6 8 3 2" xfId="4582"/>
    <cellStyle name="20% - Accent1 6 8 4" xfId="4579"/>
    <cellStyle name="20% - Accent1 6 9" xfId="272"/>
    <cellStyle name="20% - Accent1 6 9 2" xfId="273"/>
    <cellStyle name="20% - Accent1 6 9 2 2" xfId="4584"/>
    <cellStyle name="20% - Accent1 6 9 3" xfId="4583"/>
    <cellStyle name="20% - Accent1 7" xfId="274"/>
    <cellStyle name="20% - Accent1 7 10" xfId="275"/>
    <cellStyle name="20% - Accent1 7 10 2" xfId="276"/>
    <cellStyle name="20% - Accent1 7 10 2 2" xfId="4587"/>
    <cellStyle name="20% - Accent1 7 10 3" xfId="4586"/>
    <cellStyle name="20% - Accent1 7 11" xfId="277"/>
    <cellStyle name="20% - Accent1 7 11 2" xfId="278"/>
    <cellStyle name="20% - Accent1 7 11 2 2" xfId="4589"/>
    <cellStyle name="20% - Accent1 7 11 3" xfId="4588"/>
    <cellStyle name="20% - Accent1 7 12" xfId="279"/>
    <cellStyle name="20% - Accent1 7 12 2" xfId="280"/>
    <cellStyle name="20% - Accent1 7 12 2 2" xfId="4591"/>
    <cellStyle name="20% - Accent1 7 12 3" xfId="4590"/>
    <cellStyle name="20% - Accent1 7 13" xfId="281"/>
    <cellStyle name="20% - Accent1 7 13 2" xfId="282"/>
    <cellStyle name="20% - Accent1 7 13 2 2" xfId="4593"/>
    <cellStyle name="20% - Accent1 7 13 3" xfId="4592"/>
    <cellStyle name="20% - Accent1 7 14" xfId="283"/>
    <cellStyle name="20% - Accent1 7 14 2" xfId="284"/>
    <cellStyle name="20% - Accent1 7 14 2 2" xfId="4595"/>
    <cellStyle name="20% - Accent1 7 14 3" xfId="4594"/>
    <cellStyle name="20% - Accent1 7 15" xfId="285"/>
    <cellStyle name="20% - Accent1 7 15 2" xfId="286"/>
    <cellStyle name="20% - Accent1 7 15 2 2" xfId="4597"/>
    <cellStyle name="20% - Accent1 7 15 3" xfId="4596"/>
    <cellStyle name="20% - Accent1 7 16" xfId="287"/>
    <cellStyle name="20% - Accent1 7 16 2" xfId="288"/>
    <cellStyle name="20% - Accent1 7 16 2 2" xfId="4599"/>
    <cellStyle name="20% - Accent1 7 16 3" xfId="4598"/>
    <cellStyle name="20% - Accent1 7 17" xfId="289"/>
    <cellStyle name="20% - Accent1 7 17 2" xfId="290"/>
    <cellStyle name="20% - Accent1 7 17 2 2" xfId="4601"/>
    <cellStyle name="20% - Accent1 7 17 3" xfId="4600"/>
    <cellStyle name="20% - Accent1 7 18" xfId="291"/>
    <cellStyle name="20% - Accent1 7 18 2" xfId="292"/>
    <cellStyle name="20% - Accent1 7 18 2 2" xfId="4603"/>
    <cellStyle name="20% - Accent1 7 18 3" xfId="4602"/>
    <cellStyle name="20% - Accent1 7 19" xfId="293"/>
    <cellStyle name="20% - Accent1 7 19 2" xfId="4604"/>
    <cellStyle name="20% - Accent1 7 2" xfId="294"/>
    <cellStyle name="20% - Accent1 7 2 2" xfId="295"/>
    <cellStyle name="20% - Accent1 7 2 2 2" xfId="296"/>
    <cellStyle name="20% - Accent1 7 2 2 2 2" xfId="4607"/>
    <cellStyle name="20% - Accent1 7 2 2 3" xfId="4606"/>
    <cellStyle name="20% - Accent1 7 2 3" xfId="297"/>
    <cellStyle name="20% - Accent1 7 2 3 2" xfId="4608"/>
    <cellStyle name="20% - Accent1 7 2 4" xfId="4605"/>
    <cellStyle name="20% - Accent1 7 20" xfId="298"/>
    <cellStyle name="20% - Accent1 7 20 2" xfId="4609"/>
    <cellStyle name="20% - Accent1 7 21" xfId="4585"/>
    <cellStyle name="20% - Accent1 7 3" xfId="299"/>
    <cellStyle name="20% - Accent1 7 3 2" xfId="300"/>
    <cellStyle name="20% - Accent1 7 3 2 2" xfId="301"/>
    <cellStyle name="20% - Accent1 7 3 2 2 2" xfId="4612"/>
    <cellStyle name="20% - Accent1 7 3 2 3" xfId="4611"/>
    <cellStyle name="20% - Accent1 7 3 3" xfId="302"/>
    <cellStyle name="20% - Accent1 7 3 3 2" xfId="4613"/>
    <cellStyle name="20% - Accent1 7 3 4" xfId="4610"/>
    <cellStyle name="20% - Accent1 7 4" xfId="303"/>
    <cellStyle name="20% - Accent1 7 4 2" xfId="304"/>
    <cellStyle name="20% - Accent1 7 4 2 2" xfId="305"/>
    <cellStyle name="20% - Accent1 7 4 2 2 2" xfId="4616"/>
    <cellStyle name="20% - Accent1 7 4 2 3" xfId="4615"/>
    <cellStyle name="20% - Accent1 7 4 3" xfId="306"/>
    <cellStyle name="20% - Accent1 7 4 3 2" xfId="4617"/>
    <cellStyle name="20% - Accent1 7 4 4" xfId="4614"/>
    <cellStyle name="20% - Accent1 7 5" xfId="307"/>
    <cellStyle name="20% - Accent1 7 5 2" xfId="308"/>
    <cellStyle name="20% - Accent1 7 5 2 2" xfId="309"/>
    <cellStyle name="20% - Accent1 7 5 2 2 2" xfId="4620"/>
    <cellStyle name="20% - Accent1 7 5 2 3" xfId="4619"/>
    <cellStyle name="20% - Accent1 7 5 3" xfId="310"/>
    <cellStyle name="20% - Accent1 7 5 3 2" xfId="4621"/>
    <cellStyle name="20% - Accent1 7 5 4" xfId="4618"/>
    <cellStyle name="20% - Accent1 7 6" xfId="311"/>
    <cellStyle name="20% - Accent1 7 6 2" xfId="312"/>
    <cellStyle name="20% - Accent1 7 6 2 2" xfId="313"/>
    <cellStyle name="20% - Accent1 7 6 2 2 2" xfId="4624"/>
    <cellStyle name="20% - Accent1 7 6 2 3" xfId="4623"/>
    <cellStyle name="20% - Accent1 7 6 3" xfId="314"/>
    <cellStyle name="20% - Accent1 7 6 3 2" xfId="4625"/>
    <cellStyle name="20% - Accent1 7 6 4" xfId="4622"/>
    <cellStyle name="20% - Accent1 7 7" xfId="315"/>
    <cellStyle name="20% - Accent1 7 7 2" xfId="316"/>
    <cellStyle name="20% - Accent1 7 7 2 2" xfId="317"/>
    <cellStyle name="20% - Accent1 7 7 2 2 2" xfId="4628"/>
    <cellStyle name="20% - Accent1 7 7 2 3" xfId="4627"/>
    <cellStyle name="20% - Accent1 7 7 3" xfId="318"/>
    <cellStyle name="20% - Accent1 7 7 3 2" xfId="4629"/>
    <cellStyle name="20% - Accent1 7 7 4" xfId="4626"/>
    <cellStyle name="20% - Accent1 7 8" xfId="319"/>
    <cellStyle name="20% - Accent1 7 8 2" xfId="320"/>
    <cellStyle name="20% - Accent1 7 8 2 2" xfId="321"/>
    <cellStyle name="20% - Accent1 7 8 2 2 2" xfId="4632"/>
    <cellStyle name="20% - Accent1 7 8 2 3" xfId="4631"/>
    <cellStyle name="20% - Accent1 7 8 3" xfId="322"/>
    <cellStyle name="20% - Accent1 7 8 3 2" xfId="4633"/>
    <cellStyle name="20% - Accent1 7 8 4" xfId="4630"/>
    <cellStyle name="20% - Accent1 7 9" xfId="323"/>
    <cellStyle name="20% - Accent1 7 9 2" xfId="324"/>
    <cellStyle name="20% - Accent1 7 9 2 2" xfId="4635"/>
    <cellStyle name="20% - Accent1 7 9 3" xfId="4634"/>
    <cellStyle name="20% - Accent1 8" xfId="325"/>
    <cellStyle name="20% - Accent1 8 10" xfId="326"/>
    <cellStyle name="20% - Accent1 8 10 2" xfId="327"/>
    <cellStyle name="20% - Accent1 8 10 2 2" xfId="4638"/>
    <cellStyle name="20% - Accent1 8 10 3" xfId="4637"/>
    <cellStyle name="20% - Accent1 8 11" xfId="328"/>
    <cellStyle name="20% - Accent1 8 11 2" xfId="329"/>
    <cellStyle name="20% - Accent1 8 11 2 2" xfId="4640"/>
    <cellStyle name="20% - Accent1 8 11 3" xfId="4639"/>
    <cellStyle name="20% - Accent1 8 12" xfId="330"/>
    <cellStyle name="20% - Accent1 8 12 2" xfId="331"/>
    <cellStyle name="20% - Accent1 8 12 2 2" xfId="4642"/>
    <cellStyle name="20% - Accent1 8 12 3" xfId="4641"/>
    <cellStyle name="20% - Accent1 8 13" xfId="332"/>
    <cellStyle name="20% - Accent1 8 13 2" xfId="333"/>
    <cellStyle name="20% - Accent1 8 13 2 2" xfId="4644"/>
    <cellStyle name="20% - Accent1 8 13 3" xfId="4643"/>
    <cellStyle name="20% - Accent1 8 14" xfId="334"/>
    <cellStyle name="20% - Accent1 8 14 2" xfId="335"/>
    <cellStyle name="20% - Accent1 8 14 2 2" xfId="4646"/>
    <cellStyle name="20% - Accent1 8 14 3" xfId="4645"/>
    <cellStyle name="20% - Accent1 8 15" xfId="336"/>
    <cellStyle name="20% - Accent1 8 15 2" xfId="337"/>
    <cellStyle name="20% - Accent1 8 15 2 2" xfId="4648"/>
    <cellStyle name="20% - Accent1 8 15 3" xfId="4647"/>
    <cellStyle name="20% - Accent1 8 16" xfId="338"/>
    <cellStyle name="20% - Accent1 8 16 2" xfId="339"/>
    <cellStyle name="20% - Accent1 8 16 2 2" xfId="4650"/>
    <cellStyle name="20% - Accent1 8 16 3" xfId="4649"/>
    <cellStyle name="20% - Accent1 8 17" xfId="340"/>
    <cellStyle name="20% - Accent1 8 17 2" xfId="341"/>
    <cellStyle name="20% - Accent1 8 17 2 2" xfId="4652"/>
    <cellStyle name="20% - Accent1 8 17 3" xfId="4651"/>
    <cellStyle name="20% - Accent1 8 18" xfId="342"/>
    <cellStyle name="20% - Accent1 8 18 2" xfId="343"/>
    <cellStyle name="20% - Accent1 8 18 2 2" xfId="4654"/>
    <cellStyle name="20% - Accent1 8 18 3" xfId="4653"/>
    <cellStyle name="20% - Accent1 8 19" xfId="344"/>
    <cellStyle name="20% - Accent1 8 19 2" xfId="4655"/>
    <cellStyle name="20% - Accent1 8 2" xfId="345"/>
    <cellStyle name="20% - Accent1 8 2 2" xfId="346"/>
    <cellStyle name="20% - Accent1 8 2 2 2" xfId="347"/>
    <cellStyle name="20% - Accent1 8 2 2 2 2" xfId="4658"/>
    <cellStyle name="20% - Accent1 8 2 2 3" xfId="4657"/>
    <cellStyle name="20% - Accent1 8 2 3" xfId="348"/>
    <cellStyle name="20% - Accent1 8 2 3 2" xfId="4659"/>
    <cellStyle name="20% - Accent1 8 2 4" xfId="4656"/>
    <cellStyle name="20% - Accent1 8 20" xfId="349"/>
    <cellStyle name="20% - Accent1 8 20 2" xfId="4660"/>
    <cellStyle name="20% - Accent1 8 21" xfId="4636"/>
    <cellStyle name="20% - Accent1 8 3" xfId="350"/>
    <cellStyle name="20% - Accent1 8 3 2" xfId="351"/>
    <cellStyle name="20% - Accent1 8 3 2 2" xfId="352"/>
    <cellStyle name="20% - Accent1 8 3 2 2 2" xfId="4663"/>
    <cellStyle name="20% - Accent1 8 3 2 3" xfId="4662"/>
    <cellStyle name="20% - Accent1 8 3 3" xfId="353"/>
    <cellStyle name="20% - Accent1 8 3 3 2" xfId="4664"/>
    <cellStyle name="20% - Accent1 8 3 4" xfId="4661"/>
    <cellStyle name="20% - Accent1 8 4" xfId="354"/>
    <cellStyle name="20% - Accent1 8 4 2" xfId="355"/>
    <cellStyle name="20% - Accent1 8 4 2 2" xfId="356"/>
    <cellStyle name="20% - Accent1 8 4 2 2 2" xfId="4667"/>
    <cellStyle name="20% - Accent1 8 4 2 3" xfId="4666"/>
    <cellStyle name="20% - Accent1 8 4 3" xfId="357"/>
    <cellStyle name="20% - Accent1 8 4 3 2" xfId="4668"/>
    <cellStyle name="20% - Accent1 8 4 4" xfId="4665"/>
    <cellStyle name="20% - Accent1 8 5" xfId="358"/>
    <cellStyle name="20% - Accent1 8 5 2" xfId="359"/>
    <cellStyle name="20% - Accent1 8 5 2 2" xfId="360"/>
    <cellStyle name="20% - Accent1 8 5 2 2 2" xfId="4671"/>
    <cellStyle name="20% - Accent1 8 5 2 3" xfId="4670"/>
    <cellStyle name="20% - Accent1 8 5 3" xfId="361"/>
    <cellStyle name="20% - Accent1 8 5 3 2" xfId="4672"/>
    <cellStyle name="20% - Accent1 8 5 4" xfId="4669"/>
    <cellStyle name="20% - Accent1 8 6" xfId="362"/>
    <cellStyle name="20% - Accent1 8 6 2" xfId="363"/>
    <cellStyle name="20% - Accent1 8 6 2 2" xfId="364"/>
    <cellStyle name="20% - Accent1 8 6 2 2 2" xfId="4675"/>
    <cellStyle name="20% - Accent1 8 6 2 3" xfId="4674"/>
    <cellStyle name="20% - Accent1 8 6 3" xfId="365"/>
    <cellStyle name="20% - Accent1 8 6 3 2" xfId="4676"/>
    <cellStyle name="20% - Accent1 8 6 4" xfId="4673"/>
    <cellStyle name="20% - Accent1 8 7" xfId="366"/>
    <cellStyle name="20% - Accent1 8 7 2" xfId="367"/>
    <cellStyle name="20% - Accent1 8 7 2 2" xfId="368"/>
    <cellStyle name="20% - Accent1 8 7 2 2 2" xfId="4679"/>
    <cellStyle name="20% - Accent1 8 7 2 3" xfId="4678"/>
    <cellStyle name="20% - Accent1 8 7 3" xfId="369"/>
    <cellStyle name="20% - Accent1 8 7 3 2" xfId="4680"/>
    <cellStyle name="20% - Accent1 8 7 4" xfId="4677"/>
    <cellStyle name="20% - Accent1 8 8" xfId="370"/>
    <cellStyle name="20% - Accent1 8 8 2" xfId="371"/>
    <cellStyle name="20% - Accent1 8 8 2 2" xfId="372"/>
    <cellStyle name="20% - Accent1 8 8 2 2 2" xfId="4683"/>
    <cellStyle name="20% - Accent1 8 8 2 3" xfId="4682"/>
    <cellStyle name="20% - Accent1 8 8 3" xfId="373"/>
    <cellStyle name="20% - Accent1 8 8 3 2" xfId="4684"/>
    <cellStyle name="20% - Accent1 8 8 4" xfId="4681"/>
    <cellStyle name="20% - Accent1 8 9" xfId="374"/>
    <cellStyle name="20% - Accent1 8 9 2" xfId="375"/>
    <cellStyle name="20% - Accent1 8 9 2 2" xfId="4686"/>
    <cellStyle name="20% - Accent1 8 9 3" xfId="4685"/>
    <cellStyle name="20% - Accent2" xfId="5" builtinId="34" customBuiltin="1"/>
    <cellStyle name="20% - Accent2 2" xfId="6"/>
    <cellStyle name="20% - Accent2 2 2" xfId="7"/>
    <cellStyle name="20% - Accent2 3" xfId="8"/>
    <cellStyle name="20% - Accent2 4" xfId="376"/>
    <cellStyle name="20% - Accent2 4 10" xfId="377"/>
    <cellStyle name="20% - Accent2 4 10 2" xfId="378"/>
    <cellStyle name="20% - Accent2 4 10 2 2" xfId="4689"/>
    <cellStyle name="20% - Accent2 4 10 3" xfId="4688"/>
    <cellStyle name="20% - Accent2 4 11" xfId="379"/>
    <cellStyle name="20% - Accent2 4 11 2" xfId="380"/>
    <cellStyle name="20% - Accent2 4 11 2 2" xfId="4691"/>
    <cellStyle name="20% - Accent2 4 11 3" xfId="4690"/>
    <cellStyle name="20% - Accent2 4 12" xfId="381"/>
    <cellStyle name="20% - Accent2 4 12 2" xfId="382"/>
    <cellStyle name="20% - Accent2 4 12 2 2" xfId="4693"/>
    <cellStyle name="20% - Accent2 4 12 3" xfId="4692"/>
    <cellStyle name="20% - Accent2 4 13" xfId="383"/>
    <cellStyle name="20% - Accent2 4 13 2" xfId="384"/>
    <cellStyle name="20% - Accent2 4 13 2 2" xfId="4695"/>
    <cellStyle name="20% - Accent2 4 13 3" xfId="4694"/>
    <cellStyle name="20% - Accent2 4 14" xfId="385"/>
    <cellStyle name="20% - Accent2 4 14 2" xfId="386"/>
    <cellStyle name="20% - Accent2 4 14 2 2" xfId="4697"/>
    <cellStyle name="20% - Accent2 4 14 3" xfId="4696"/>
    <cellStyle name="20% - Accent2 4 15" xfId="387"/>
    <cellStyle name="20% - Accent2 4 15 2" xfId="388"/>
    <cellStyle name="20% - Accent2 4 15 2 2" xfId="4699"/>
    <cellStyle name="20% - Accent2 4 15 3" xfId="4698"/>
    <cellStyle name="20% - Accent2 4 16" xfId="389"/>
    <cellStyle name="20% - Accent2 4 16 2" xfId="390"/>
    <cellStyle name="20% - Accent2 4 16 2 2" xfId="4701"/>
    <cellStyle name="20% - Accent2 4 16 3" xfId="4700"/>
    <cellStyle name="20% - Accent2 4 17" xfId="391"/>
    <cellStyle name="20% - Accent2 4 17 2" xfId="392"/>
    <cellStyle name="20% - Accent2 4 17 2 2" xfId="4703"/>
    <cellStyle name="20% - Accent2 4 17 3" xfId="4702"/>
    <cellStyle name="20% - Accent2 4 18" xfId="393"/>
    <cellStyle name="20% - Accent2 4 18 2" xfId="394"/>
    <cellStyle name="20% - Accent2 4 18 2 2" xfId="4705"/>
    <cellStyle name="20% - Accent2 4 18 3" xfId="4704"/>
    <cellStyle name="20% - Accent2 4 19" xfId="395"/>
    <cellStyle name="20% - Accent2 4 19 2" xfId="4706"/>
    <cellStyle name="20% - Accent2 4 2" xfId="396"/>
    <cellStyle name="20% - Accent2 4 2 2" xfId="397"/>
    <cellStyle name="20% - Accent2 4 2 2 2" xfId="398"/>
    <cellStyle name="20% - Accent2 4 2 2 2 2" xfId="4709"/>
    <cellStyle name="20% - Accent2 4 2 2 3" xfId="4708"/>
    <cellStyle name="20% - Accent2 4 2 3" xfId="399"/>
    <cellStyle name="20% - Accent2 4 2 3 2" xfId="4710"/>
    <cellStyle name="20% - Accent2 4 2 4" xfId="4707"/>
    <cellStyle name="20% - Accent2 4 20" xfId="400"/>
    <cellStyle name="20% - Accent2 4 20 2" xfId="4711"/>
    <cellStyle name="20% - Accent2 4 21" xfId="4687"/>
    <cellStyle name="20% - Accent2 4 3" xfId="401"/>
    <cellStyle name="20% - Accent2 4 3 2" xfId="402"/>
    <cellStyle name="20% - Accent2 4 3 2 2" xfId="403"/>
    <cellStyle name="20% - Accent2 4 3 2 2 2" xfId="4714"/>
    <cellStyle name="20% - Accent2 4 3 2 3" xfId="4713"/>
    <cellStyle name="20% - Accent2 4 3 3" xfId="404"/>
    <cellStyle name="20% - Accent2 4 3 3 2" xfId="4715"/>
    <cellStyle name="20% - Accent2 4 3 4" xfId="4712"/>
    <cellStyle name="20% - Accent2 4 4" xfId="405"/>
    <cellStyle name="20% - Accent2 4 4 2" xfId="406"/>
    <cellStyle name="20% - Accent2 4 4 2 2" xfId="407"/>
    <cellStyle name="20% - Accent2 4 4 2 2 2" xfId="4718"/>
    <cellStyle name="20% - Accent2 4 4 2 3" xfId="4717"/>
    <cellStyle name="20% - Accent2 4 4 3" xfId="408"/>
    <cellStyle name="20% - Accent2 4 4 3 2" xfId="4719"/>
    <cellStyle name="20% - Accent2 4 4 4" xfId="4716"/>
    <cellStyle name="20% - Accent2 4 5" xfId="409"/>
    <cellStyle name="20% - Accent2 4 5 2" xfId="410"/>
    <cellStyle name="20% - Accent2 4 5 2 2" xfId="411"/>
    <cellStyle name="20% - Accent2 4 5 2 2 2" xfId="4722"/>
    <cellStyle name="20% - Accent2 4 5 2 3" xfId="4721"/>
    <cellStyle name="20% - Accent2 4 5 3" xfId="412"/>
    <cellStyle name="20% - Accent2 4 5 3 2" xfId="4723"/>
    <cellStyle name="20% - Accent2 4 5 4" xfId="4720"/>
    <cellStyle name="20% - Accent2 4 6" xfId="413"/>
    <cellStyle name="20% - Accent2 4 6 2" xfId="414"/>
    <cellStyle name="20% - Accent2 4 6 2 2" xfId="415"/>
    <cellStyle name="20% - Accent2 4 6 2 2 2" xfId="4726"/>
    <cellStyle name="20% - Accent2 4 6 2 3" xfId="4725"/>
    <cellStyle name="20% - Accent2 4 6 3" xfId="416"/>
    <cellStyle name="20% - Accent2 4 6 3 2" xfId="4727"/>
    <cellStyle name="20% - Accent2 4 6 4" xfId="4724"/>
    <cellStyle name="20% - Accent2 4 7" xfId="417"/>
    <cellStyle name="20% - Accent2 4 7 2" xfId="418"/>
    <cellStyle name="20% - Accent2 4 7 2 2" xfId="419"/>
    <cellStyle name="20% - Accent2 4 7 2 2 2" xfId="4730"/>
    <cellStyle name="20% - Accent2 4 7 2 3" xfId="4729"/>
    <cellStyle name="20% - Accent2 4 7 3" xfId="420"/>
    <cellStyle name="20% - Accent2 4 7 3 2" xfId="4731"/>
    <cellStyle name="20% - Accent2 4 7 4" xfId="4728"/>
    <cellStyle name="20% - Accent2 4 8" xfId="421"/>
    <cellStyle name="20% - Accent2 4 8 2" xfId="422"/>
    <cellStyle name="20% - Accent2 4 8 2 2" xfId="423"/>
    <cellStyle name="20% - Accent2 4 8 2 2 2" xfId="4734"/>
    <cellStyle name="20% - Accent2 4 8 2 3" xfId="4733"/>
    <cellStyle name="20% - Accent2 4 8 3" xfId="424"/>
    <cellStyle name="20% - Accent2 4 8 3 2" xfId="4735"/>
    <cellStyle name="20% - Accent2 4 8 4" xfId="4732"/>
    <cellStyle name="20% - Accent2 4 9" xfId="425"/>
    <cellStyle name="20% - Accent2 4 9 2" xfId="426"/>
    <cellStyle name="20% - Accent2 4 9 2 2" xfId="4737"/>
    <cellStyle name="20% - Accent2 4 9 3" xfId="4736"/>
    <cellStyle name="20% - Accent2 5" xfId="427"/>
    <cellStyle name="20% - Accent2 5 10" xfId="428"/>
    <cellStyle name="20% - Accent2 5 10 2" xfId="429"/>
    <cellStyle name="20% - Accent2 5 10 2 2" xfId="4740"/>
    <cellStyle name="20% - Accent2 5 10 3" xfId="4739"/>
    <cellStyle name="20% - Accent2 5 11" xfId="430"/>
    <cellStyle name="20% - Accent2 5 11 2" xfId="431"/>
    <cellStyle name="20% - Accent2 5 11 2 2" xfId="4742"/>
    <cellStyle name="20% - Accent2 5 11 3" xfId="4741"/>
    <cellStyle name="20% - Accent2 5 12" xfId="432"/>
    <cellStyle name="20% - Accent2 5 12 2" xfId="433"/>
    <cellStyle name="20% - Accent2 5 12 2 2" xfId="4744"/>
    <cellStyle name="20% - Accent2 5 12 3" xfId="4743"/>
    <cellStyle name="20% - Accent2 5 13" xfId="434"/>
    <cellStyle name="20% - Accent2 5 13 2" xfId="435"/>
    <cellStyle name="20% - Accent2 5 13 2 2" xfId="4746"/>
    <cellStyle name="20% - Accent2 5 13 3" xfId="4745"/>
    <cellStyle name="20% - Accent2 5 14" xfId="436"/>
    <cellStyle name="20% - Accent2 5 14 2" xfId="437"/>
    <cellStyle name="20% - Accent2 5 14 2 2" xfId="4748"/>
    <cellStyle name="20% - Accent2 5 14 3" xfId="4747"/>
    <cellStyle name="20% - Accent2 5 15" xfId="438"/>
    <cellStyle name="20% - Accent2 5 15 2" xfId="439"/>
    <cellStyle name="20% - Accent2 5 15 2 2" xfId="4750"/>
    <cellStyle name="20% - Accent2 5 15 3" xfId="4749"/>
    <cellStyle name="20% - Accent2 5 16" xfId="440"/>
    <cellStyle name="20% - Accent2 5 16 2" xfId="441"/>
    <cellStyle name="20% - Accent2 5 16 2 2" xfId="4752"/>
    <cellStyle name="20% - Accent2 5 16 3" xfId="4751"/>
    <cellStyle name="20% - Accent2 5 17" xfId="442"/>
    <cellStyle name="20% - Accent2 5 17 2" xfId="443"/>
    <cellStyle name="20% - Accent2 5 17 2 2" xfId="4754"/>
    <cellStyle name="20% - Accent2 5 17 3" xfId="4753"/>
    <cellStyle name="20% - Accent2 5 18" xfId="444"/>
    <cellStyle name="20% - Accent2 5 18 2" xfId="445"/>
    <cellStyle name="20% - Accent2 5 18 2 2" xfId="4756"/>
    <cellStyle name="20% - Accent2 5 18 3" xfId="4755"/>
    <cellStyle name="20% - Accent2 5 19" xfId="446"/>
    <cellStyle name="20% - Accent2 5 19 2" xfId="4757"/>
    <cellStyle name="20% - Accent2 5 2" xfId="447"/>
    <cellStyle name="20% - Accent2 5 2 2" xfId="448"/>
    <cellStyle name="20% - Accent2 5 2 2 2" xfId="449"/>
    <cellStyle name="20% - Accent2 5 2 2 2 2" xfId="4760"/>
    <cellStyle name="20% - Accent2 5 2 2 3" xfId="4759"/>
    <cellStyle name="20% - Accent2 5 2 3" xfId="450"/>
    <cellStyle name="20% - Accent2 5 2 3 2" xfId="4761"/>
    <cellStyle name="20% - Accent2 5 2 4" xfId="4758"/>
    <cellStyle name="20% - Accent2 5 20" xfId="451"/>
    <cellStyle name="20% - Accent2 5 20 2" xfId="4762"/>
    <cellStyle name="20% - Accent2 5 21" xfId="4738"/>
    <cellStyle name="20% - Accent2 5 3" xfId="452"/>
    <cellStyle name="20% - Accent2 5 3 2" xfId="453"/>
    <cellStyle name="20% - Accent2 5 3 2 2" xfId="454"/>
    <cellStyle name="20% - Accent2 5 3 2 2 2" xfId="4765"/>
    <cellStyle name="20% - Accent2 5 3 2 3" xfId="4764"/>
    <cellStyle name="20% - Accent2 5 3 3" xfId="455"/>
    <cellStyle name="20% - Accent2 5 3 3 2" xfId="4766"/>
    <cellStyle name="20% - Accent2 5 3 4" xfId="4763"/>
    <cellStyle name="20% - Accent2 5 4" xfId="456"/>
    <cellStyle name="20% - Accent2 5 4 2" xfId="457"/>
    <cellStyle name="20% - Accent2 5 4 2 2" xfId="458"/>
    <cellStyle name="20% - Accent2 5 4 2 2 2" xfId="4769"/>
    <cellStyle name="20% - Accent2 5 4 2 3" xfId="4768"/>
    <cellStyle name="20% - Accent2 5 4 3" xfId="459"/>
    <cellStyle name="20% - Accent2 5 4 3 2" xfId="4770"/>
    <cellStyle name="20% - Accent2 5 4 4" xfId="4767"/>
    <cellStyle name="20% - Accent2 5 5" xfId="460"/>
    <cellStyle name="20% - Accent2 5 5 2" xfId="461"/>
    <cellStyle name="20% - Accent2 5 5 2 2" xfId="462"/>
    <cellStyle name="20% - Accent2 5 5 2 2 2" xfId="4773"/>
    <cellStyle name="20% - Accent2 5 5 2 3" xfId="4772"/>
    <cellStyle name="20% - Accent2 5 5 3" xfId="463"/>
    <cellStyle name="20% - Accent2 5 5 3 2" xfId="4774"/>
    <cellStyle name="20% - Accent2 5 5 4" xfId="4771"/>
    <cellStyle name="20% - Accent2 5 6" xfId="464"/>
    <cellStyle name="20% - Accent2 5 6 2" xfId="465"/>
    <cellStyle name="20% - Accent2 5 6 2 2" xfId="466"/>
    <cellStyle name="20% - Accent2 5 6 2 2 2" xfId="4777"/>
    <cellStyle name="20% - Accent2 5 6 2 3" xfId="4776"/>
    <cellStyle name="20% - Accent2 5 6 3" xfId="467"/>
    <cellStyle name="20% - Accent2 5 6 3 2" xfId="4778"/>
    <cellStyle name="20% - Accent2 5 6 4" xfId="4775"/>
    <cellStyle name="20% - Accent2 5 7" xfId="468"/>
    <cellStyle name="20% - Accent2 5 7 2" xfId="469"/>
    <cellStyle name="20% - Accent2 5 7 2 2" xfId="470"/>
    <cellStyle name="20% - Accent2 5 7 2 2 2" xfId="4781"/>
    <cellStyle name="20% - Accent2 5 7 2 3" xfId="4780"/>
    <cellStyle name="20% - Accent2 5 7 3" xfId="471"/>
    <cellStyle name="20% - Accent2 5 7 3 2" xfId="4782"/>
    <cellStyle name="20% - Accent2 5 7 4" xfId="4779"/>
    <cellStyle name="20% - Accent2 5 8" xfId="472"/>
    <cellStyle name="20% - Accent2 5 8 2" xfId="473"/>
    <cellStyle name="20% - Accent2 5 8 2 2" xfId="474"/>
    <cellStyle name="20% - Accent2 5 8 2 2 2" xfId="4785"/>
    <cellStyle name="20% - Accent2 5 8 2 3" xfId="4784"/>
    <cellStyle name="20% - Accent2 5 8 3" xfId="475"/>
    <cellStyle name="20% - Accent2 5 8 3 2" xfId="4786"/>
    <cellStyle name="20% - Accent2 5 8 4" xfId="4783"/>
    <cellStyle name="20% - Accent2 5 9" xfId="476"/>
    <cellStyle name="20% - Accent2 5 9 2" xfId="477"/>
    <cellStyle name="20% - Accent2 5 9 2 2" xfId="4788"/>
    <cellStyle name="20% - Accent2 5 9 3" xfId="4787"/>
    <cellStyle name="20% - Accent2 6" xfId="478"/>
    <cellStyle name="20% - Accent2 6 10" xfId="479"/>
    <cellStyle name="20% - Accent2 6 10 2" xfId="480"/>
    <cellStyle name="20% - Accent2 6 10 2 2" xfId="4791"/>
    <cellStyle name="20% - Accent2 6 10 3" xfId="4790"/>
    <cellStyle name="20% - Accent2 6 11" xfId="481"/>
    <cellStyle name="20% - Accent2 6 11 2" xfId="482"/>
    <cellStyle name="20% - Accent2 6 11 2 2" xfId="4793"/>
    <cellStyle name="20% - Accent2 6 11 3" xfId="4792"/>
    <cellStyle name="20% - Accent2 6 12" xfId="483"/>
    <cellStyle name="20% - Accent2 6 12 2" xfId="484"/>
    <cellStyle name="20% - Accent2 6 12 2 2" xfId="4795"/>
    <cellStyle name="20% - Accent2 6 12 3" xfId="4794"/>
    <cellStyle name="20% - Accent2 6 13" xfId="485"/>
    <cellStyle name="20% - Accent2 6 13 2" xfId="486"/>
    <cellStyle name="20% - Accent2 6 13 2 2" xfId="4797"/>
    <cellStyle name="20% - Accent2 6 13 3" xfId="4796"/>
    <cellStyle name="20% - Accent2 6 14" xfId="487"/>
    <cellStyle name="20% - Accent2 6 14 2" xfId="488"/>
    <cellStyle name="20% - Accent2 6 14 2 2" xfId="4799"/>
    <cellStyle name="20% - Accent2 6 14 3" xfId="4798"/>
    <cellStyle name="20% - Accent2 6 15" xfId="489"/>
    <cellStyle name="20% - Accent2 6 15 2" xfId="490"/>
    <cellStyle name="20% - Accent2 6 15 2 2" xfId="4801"/>
    <cellStyle name="20% - Accent2 6 15 3" xfId="4800"/>
    <cellStyle name="20% - Accent2 6 16" xfId="491"/>
    <cellStyle name="20% - Accent2 6 16 2" xfId="492"/>
    <cellStyle name="20% - Accent2 6 16 2 2" xfId="4803"/>
    <cellStyle name="20% - Accent2 6 16 3" xfId="4802"/>
    <cellStyle name="20% - Accent2 6 17" xfId="493"/>
    <cellStyle name="20% - Accent2 6 17 2" xfId="494"/>
    <cellStyle name="20% - Accent2 6 17 2 2" xfId="4805"/>
    <cellStyle name="20% - Accent2 6 17 3" xfId="4804"/>
    <cellStyle name="20% - Accent2 6 18" xfId="495"/>
    <cellStyle name="20% - Accent2 6 18 2" xfId="496"/>
    <cellStyle name="20% - Accent2 6 18 2 2" xfId="4807"/>
    <cellStyle name="20% - Accent2 6 18 3" xfId="4806"/>
    <cellStyle name="20% - Accent2 6 19" xfId="497"/>
    <cellStyle name="20% - Accent2 6 19 2" xfId="4808"/>
    <cellStyle name="20% - Accent2 6 2" xfId="498"/>
    <cellStyle name="20% - Accent2 6 2 2" xfId="499"/>
    <cellStyle name="20% - Accent2 6 2 2 2" xfId="500"/>
    <cellStyle name="20% - Accent2 6 2 2 2 2" xfId="4811"/>
    <cellStyle name="20% - Accent2 6 2 2 3" xfId="4810"/>
    <cellStyle name="20% - Accent2 6 2 3" xfId="501"/>
    <cellStyle name="20% - Accent2 6 2 3 2" xfId="4812"/>
    <cellStyle name="20% - Accent2 6 2 4" xfId="4809"/>
    <cellStyle name="20% - Accent2 6 20" xfId="502"/>
    <cellStyle name="20% - Accent2 6 20 2" xfId="4813"/>
    <cellStyle name="20% - Accent2 6 21" xfId="4789"/>
    <cellStyle name="20% - Accent2 6 3" xfId="503"/>
    <cellStyle name="20% - Accent2 6 3 2" xfId="504"/>
    <cellStyle name="20% - Accent2 6 3 2 2" xfId="505"/>
    <cellStyle name="20% - Accent2 6 3 2 2 2" xfId="4816"/>
    <cellStyle name="20% - Accent2 6 3 2 3" xfId="4815"/>
    <cellStyle name="20% - Accent2 6 3 3" xfId="506"/>
    <cellStyle name="20% - Accent2 6 3 3 2" xfId="4817"/>
    <cellStyle name="20% - Accent2 6 3 4" xfId="4814"/>
    <cellStyle name="20% - Accent2 6 4" xfId="507"/>
    <cellStyle name="20% - Accent2 6 4 2" xfId="508"/>
    <cellStyle name="20% - Accent2 6 4 2 2" xfId="509"/>
    <cellStyle name="20% - Accent2 6 4 2 2 2" xfId="4820"/>
    <cellStyle name="20% - Accent2 6 4 2 3" xfId="4819"/>
    <cellStyle name="20% - Accent2 6 4 3" xfId="510"/>
    <cellStyle name="20% - Accent2 6 4 3 2" xfId="4821"/>
    <cellStyle name="20% - Accent2 6 4 4" xfId="4818"/>
    <cellStyle name="20% - Accent2 6 5" xfId="511"/>
    <cellStyle name="20% - Accent2 6 5 2" xfId="512"/>
    <cellStyle name="20% - Accent2 6 5 2 2" xfId="513"/>
    <cellStyle name="20% - Accent2 6 5 2 2 2" xfId="4824"/>
    <cellStyle name="20% - Accent2 6 5 2 3" xfId="4823"/>
    <cellStyle name="20% - Accent2 6 5 3" xfId="514"/>
    <cellStyle name="20% - Accent2 6 5 3 2" xfId="4825"/>
    <cellStyle name="20% - Accent2 6 5 4" xfId="4822"/>
    <cellStyle name="20% - Accent2 6 6" xfId="515"/>
    <cellStyle name="20% - Accent2 6 6 2" xfId="516"/>
    <cellStyle name="20% - Accent2 6 6 2 2" xfId="517"/>
    <cellStyle name="20% - Accent2 6 6 2 2 2" xfId="4828"/>
    <cellStyle name="20% - Accent2 6 6 2 3" xfId="4827"/>
    <cellStyle name="20% - Accent2 6 6 3" xfId="518"/>
    <cellStyle name="20% - Accent2 6 6 3 2" xfId="4829"/>
    <cellStyle name="20% - Accent2 6 6 4" xfId="4826"/>
    <cellStyle name="20% - Accent2 6 7" xfId="519"/>
    <cellStyle name="20% - Accent2 6 7 2" xfId="520"/>
    <cellStyle name="20% - Accent2 6 7 2 2" xfId="521"/>
    <cellStyle name="20% - Accent2 6 7 2 2 2" xfId="4832"/>
    <cellStyle name="20% - Accent2 6 7 2 3" xfId="4831"/>
    <cellStyle name="20% - Accent2 6 7 3" xfId="522"/>
    <cellStyle name="20% - Accent2 6 7 3 2" xfId="4833"/>
    <cellStyle name="20% - Accent2 6 7 4" xfId="4830"/>
    <cellStyle name="20% - Accent2 6 8" xfId="523"/>
    <cellStyle name="20% - Accent2 6 8 2" xfId="524"/>
    <cellStyle name="20% - Accent2 6 8 2 2" xfId="525"/>
    <cellStyle name="20% - Accent2 6 8 2 2 2" xfId="4836"/>
    <cellStyle name="20% - Accent2 6 8 2 3" xfId="4835"/>
    <cellStyle name="20% - Accent2 6 8 3" xfId="526"/>
    <cellStyle name="20% - Accent2 6 8 3 2" xfId="4837"/>
    <cellStyle name="20% - Accent2 6 8 4" xfId="4834"/>
    <cellStyle name="20% - Accent2 6 9" xfId="527"/>
    <cellStyle name="20% - Accent2 6 9 2" xfId="528"/>
    <cellStyle name="20% - Accent2 6 9 2 2" xfId="4839"/>
    <cellStyle name="20% - Accent2 6 9 3" xfId="4838"/>
    <cellStyle name="20% - Accent2 7" xfId="529"/>
    <cellStyle name="20% - Accent2 7 10" xfId="530"/>
    <cellStyle name="20% - Accent2 7 10 2" xfId="531"/>
    <cellStyle name="20% - Accent2 7 10 2 2" xfId="4842"/>
    <cellStyle name="20% - Accent2 7 10 3" xfId="4841"/>
    <cellStyle name="20% - Accent2 7 11" xfId="532"/>
    <cellStyle name="20% - Accent2 7 11 2" xfId="533"/>
    <cellStyle name="20% - Accent2 7 11 2 2" xfId="4844"/>
    <cellStyle name="20% - Accent2 7 11 3" xfId="4843"/>
    <cellStyle name="20% - Accent2 7 12" xfId="534"/>
    <cellStyle name="20% - Accent2 7 12 2" xfId="535"/>
    <cellStyle name="20% - Accent2 7 12 2 2" xfId="4846"/>
    <cellStyle name="20% - Accent2 7 12 3" xfId="4845"/>
    <cellStyle name="20% - Accent2 7 13" xfId="536"/>
    <cellStyle name="20% - Accent2 7 13 2" xfId="537"/>
    <cellStyle name="20% - Accent2 7 13 2 2" xfId="4848"/>
    <cellStyle name="20% - Accent2 7 13 3" xfId="4847"/>
    <cellStyle name="20% - Accent2 7 14" xfId="538"/>
    <cellStyle name="20% - Accent2 7 14 2" xfId="539"/>
    <cellStyle name="20% - Accent2 7 14 2 2" xfId="4850"/>
    <cellStyle name="20% - Accent2 7 14 3" xfId="4849"/>
    <cellStyle name="20% - Accent2 7 15" xfId="540"/>
    <cellStyle name="20% - Accent2 7 15 2" xfId="541"/>
    <cellStyle name="20% - Accent2 7 15 2 2" xfId="4852"/>
    <cellStyle name="20% - Accent2 7 15 3" xfId="4851"/>
    <cellStyle name="20% - Accent2 7 16" xfId="542"/>
    <cellStyle name="20% - Accent2 7 16 2" xfId="543"/>
    <cellStyle name="20% - Accent2 7 16 2 2" xfId="4854"/>
    <cellStyle name="20% - Accent2 7 16 3" xfId="4853"/>
    <cellStyle name="20% - Accent2 7 17" xfId="544"/>
    <cellStyle name="20% - Accent2 7 17 2" xfId="545"/>
    <cellStyle name="20% - Accent2 7 17 2 2" xfId="4856"/>
    <cellStyle name="20% - Accent2 7 17 3" xfId="4855"/>
    <cellStyle name="20% - Accent2 7 18" xfId="546"/>
    <cellStyle name="20% - Accent2 7 18 2" xfId="547"/>
    <cellStyle name="20% - Accent2 7 18 2 2" xfId="4858"/>
    <cellStyle name="20% - Accent2 7 18 3" xfId="4857"/>
    <cellStyle name="20% - Accent2 7 19" xfId="548"/>
    <cellStyle name="20% - Accent2 7 19 2" xfId="4859"/>
    <cellStyle name="20% - Accent2 7 2" xfId="549"/>
    <cellStyle name="20% - Accent2 7 2 2" xfId="550"/>
    <cellStyle name="20% - Accent2 7 2 2 2" xfId="551"/>
    <cellStyle name="20% - Accent2 7 2 2 2 2" xfId="4862"/>
    <cellStyle name="20% - Accent2 7 2 2 3" xfId="4861"/>
    <cellStyle name="20% - Accent2 7 2 3" xfId="552"/>
    <cellStyle name="20% - Accent2 7 2 3 2" xfId="4863"/>
    <cellStyle name="20% - Accent2 7 2 4" xfId="4860"/>
    <cellStyle name="20% - Accent2 7 20" xfId="553"/>
    <cellStyle name="20% - Accent2 7 20 2" xfId="4864"/>
    <cellStyle name="20% - Accent2 7 21" xfId="4840"/>
    <cellStyle name="20% - Accent2 7 3" xfId="554"/>
    <cellStyle name="20% - Accent2 7 3 2" xfId="555"/>
    <cellStyle name="20% - Accent2 7 3 2 2" xfId="556"/>
    <cellStyle name="20% - Accent2 7 3 2 2 2" xfId="4867"/>
    <cellStyle name="20% - Accent2 7 3 2 3" xfId="4866"/>
    <cellStyle name="20% - Accent2 7 3 3" xfId="557"/>
    <cellStyle name="20% - Accent2 7 3 3 2" xfId="4868"/>
    <cellStyle name="20% - Accent2 7 3 4" xfId="4865"/>
    <cellStyle name="20% - Accent2 7 4" xfId="558"/>
    <cellStyle name="20% - Accent2 7 4 2" xfId="559"/>
    <cellStyle name="20% - Accent2 7 4 2 2" xfId="560"/>
    <cellStyle name="20% - Accent2 7 4 2 2 2" xfId="4871"/>
    <cellStyle name="20% - Accent2 7 4 2 3" xfId="4870"/>
    <cellStyle name="20% - Accent2 7 4 3" xfId="561"/>
    <cellStyle name="20% - Accent2 7 4 3 2" xfId="4872"/>
    <cellStyle name="20% - Accent2 7 4 4" xfId="4869"/>
    <cellStyle name="20% - Accent2 7 5" xfId="562"/>
    <cellStyle name="20% - Accent2 7 5 2" xfId="563"/>
    <cellStyle name="20% - Accent2 7 5 2 2" xfId="564"/>
    <cellStyle name="20% - Accent2 7 5 2 2 2" xfId="4875"/>
    <cellStyle name="20% - Accent2 7 5 2 3" xfId="4874"/>
    <cellStyle name="20% - Accent2 7 5 3" xfId="565"/>
    <cellStyle name="20% - Accent2 7 5 3 2" xfId="4876"/>
    <cellStyle name="20% - Accent2 7 5 4" xfId="4873"/>
    <cellStyle name="20% - Accent2 7 6" xfId="566"/>
    <cellStyle name="20% - Accent2 7 6 2" xfId="567"/>
    <cellStyle name="20% - Accent2 7 6 2 2" xfId="568"/>
    <cellStyle name="20% - Accent2 7 6 2 2 2" xfId="4879"/>
    <cellStyle name="20% - Accent2 7 6 2 3" xfId="4878"/>
    <cellStyle name="20% - Accent2 7 6 3" xfId="569"/>
    <cellStyle name="20% - Accent2 7 6 3 2" xfId="4880"/>
    <cellStyle name="20% - Accent2 7 6 4" xfId="4877"/>
    <cellStyle name="20% - Accent2 7 7" xfId="570"/>
    <cellStyle name="20% - Accent2 7 7 2" xfId="571"/>
    <cellStyle name="20% - Accent2 7 7 2 2" xfId="572"/>
    <cellStyle name="20% - Accent2 7 7 2 2 2" xfId="4883"/>
    <cellStyle name="20% - Accent2 7 7 2 3" xfId="4882"/>
    <cellStyle name="20% - Accent2 7 7 3" xfId="573"/>
    <cellStyle name="20% - Accent2 7 7 3 2" xfId="4884"/>
    <cellStyle name="20% - Accent2 7 7 4" xfId="4881"/>
    <cellStyle name="20% - Accent2 7 8" xfId="574"/>
    <cellStyle name="20% - Accent2 7 8 2" xfId="575"/>
    <cellStyle name="20% - Accent2 7 8 2 2" xfId="576"/>
    <cellStyle name="20% - Accent2 7 8 2 2 2" xfId="4887"/>
    <cellStyle name="20% - Accent2 7 8 2 3" xfId="4886"/>
    <cellStyle name="20% - Accent2 7 8 3" xfId="577"/>
    <cellStyle name="20% - Accent2 7 8 3 2" xfId="4888"/>
    <cellStyle name="20% - Accent2 7 8 4" xfId="4885"/>
    <cellStyle name="20% - Accent2 7 9" xfId="578"/>
    <cellStyle name="20% - Accent2 7 9 2" xfId="579"/>
    <cellStyle name="20% - Accent2 7 9 2 2" xfId="4890"/>
    <cellStyle name="20% - Accent2 7 9 3" xfId="4889"/>
    <cellStyle name="20% - Accent2 8" xfId="580"/>
    <cellStyle name="20% - Accent2 8 10" xfId="581"/>
    <cellStyle name="20% - Accent2 8 10 2" xfId="582"/>
    <cellStyle name="20% - Accent2 8 10 2 2" xfId="4893"/>
    <cellStyle name="20% - Accent2 8 10 3" xfId="4892"/>
    <cellStyle name="20% - Accent2 8 11" xfId="583"/>
    <cellStyle name="20% - Accent2 8 11 2" xfId="584"/>
    <cellStyle name="20% - Accent2 8 11 2 2" xfId="4895"/>
    <cellStyle name="20% - Accent2 8 11 3" xfId="4894"/>
    <cellStyle name="20% - Accent2 8 12" xfId="585"/>
    <cellStyle name="20% - Accent2 8 12 2" xfId="586"/>
    <cellStyle name="20% - Accent2 8 12 2 2" xfId="4897"/>
    <cellStyle name="20% - Accent2 8 12 3" xfId="4896"/>
    <cellStyle name="20% - Accent2 8 13" xfId="587"/>
    <cellStyle name="20% - Accent2 8 13 2" xfId="588"/>
    <cellStyle name="20% - Accent2 8 13 2 2" xfId="4899"/>
    <cellStyle name="20% - Accent2 8 13 3" xfId="4898"/>
    <cellStyle name="20% - Accent2 8 14" xfId="589"/>
    <cellStyle name="20% - Accent2 8 14 2" xfId="590"/>
    <cellStyle name="20% - Accent2 8 14 2 2" xfId="4901"/>
    <cellStyle name="20% - Accent2 8 14 3" xfId="4900"/>
    <cellStyle name="20% - Accent2 8 15" xfId="591"/>
    <cellStyle name="20% - Accent2 8 15 2" xfId="592"/>
    <cellStyle name="20% - Accent2 8 15 2 2" xfId="4903"/>
    <cellStyle name="20% - Accent2 8 15 3" xfId="4902"/>
    <cellStyle name="20% - Accent2 8 16" xfId="593"/>
    <cellStyle name="20% - Accent2 8 16 2" xfId="594"/>
    <cellStyle name="20% - Accent2 8 16 2 2" xfId="4905"/>
    <cellStyle name="20% - Accent2 8 16 3" xfId="4904"/>
    <cellStyle name="20% - Accent2 8 17" xfId="595"/>
    <cellStyle name="20% - Accent2 8 17 2" xfId="596"/>
    <cellStyle name="20% - Accent2 8 17 2 2" xfId="4907"/>
    <cellStyle name="20% - Accent2 8 17 3" xfId="4906"/>
    <cellStyle name="20% - Accent2 8 18" xfId="597"/>
    <cellStyle name="20% - Accent2 8 18 2" xfId="598"/>
    <cellStyle name="20% - Accent2 8 18 2 2" xfId="4909"/>
    <cellStyle name="20% - Accent2 8 18 3" xfId="4908"/>
    <cellStyle name="20% - Accent2 8 19" xfId="599"/>
    <cellStyle name="20% - Accent2 8 19 2" xfId="4910"/>
    <cellStyle name="20% - Accent2 8 2" xfId="600"/>
    <cellStyle name="20% - Accent2 8 2 2" xfId="601"/>
    <cellStyle name="20% - Accent2 8 2 2 2" xfId="602"/>
    <cellStyle name="20% - Accent2 8 2 2 2 2" xfId="4913"/>
    <cellStyle name="20% - Accent2 8 2 2 3" xfId="4912"/>
    <cellStyle name="20% - Accent2 8 2 3" xfId="603"/>
    <cellStyle name="20% - Accent2 8 2 3 2" xfId="4914"/>
    <cellStyle name="20% - Accent2 8 2 4" xfId="4911"/>
    <cellStyle name="20% - Accent2 8 20" xfId="604"/>
    <cellStyle name="20% - Accent2 8 20 2" xfId="4915"/>
    <cellStyle name="20% - Accent2 8 21" xfId="4891"/>
    <cellStyle name="20% - Accent2 8 3" xfId="605"/>
    <cellStyle name="20% - Accent2 8 3 2" xfId="606"/>
    <cellStyle name="20% - Accent2 8 3 2 2" xfId="607"/>
    <cellStyle name="20% - Accent2 8 3 2 2 2" xfId="4918"/>
    <cellStyle name="20% - Accent2 8 3 2 3" xfId="4917"/>
    <cellStyle name="20% - Accent2 8 3 3" xfId="608"/>
    <cellStyle name="20% - Accent2 8 3 3 2" xfId="4919"/>
    <cellStyle name="20% - Accent2 8 3 4" xfId="4916"/>
    <cellStyle name="20% - Accent2 8 4" xfId="609"/>
    <cellStyle name="20% - Accent2 8 4 2" xfId="610"/>
    <cellStyle name="20% - Accent2 8 4 2 2" xfId="611"/>
    <cellStyle name="20% - Accent2 8 4 2 2 2" xfId="4922"/>
    <cellStyle name="20% - Accent2 8 4 2 3" xfId="4921"/>
    <cellStyle name="20% - Accent2 8 4 3" xfId="612"/>
    <cellStyle name="20% - Accent2 8 4 3 2" xfId="4923"/>
    <cellStyle name="20% - Accent2 8 4 4" xfId="4920"/>
    <cellStyle name="20% - Accent2 8 5" xfId="613"/>
    <cellStyle name="20% - Accent2 8 5 2" xfId="614"/>
    <cellStyle name="20% - Accent2 8 5 2 2" xfId="615"/>
    <cellStyle name="20% - Accent2 8 5 2 2 2" xfId="4926"/>
    <cellStyle name="20% - Accent2 8 5 2 3" xfId="4925"/>
    <cellStyle name="20% - Accent2 8 5 3" xfId="616"/>
    <cellStyle name="20% - Accent2 8 5 3 2" xfId="4927"/>
    <cellStyle name="20% - Accent2 8 5 4" xfId="4924"/>
    <cellStyle name="20% - Accent2 8 6" xfId="617"/>
    <cellStyle name="20% - Accent2 8 6 2" xfId="618"/>
    <cellStyle name="20% - Accent2 8 6 2 2" xfId="619"/>
    <cellStyle name="20% - Accent2 8 6 2 2 2" xfId="4930"/>
    <cellStyle name="20% - Accent2 8 6 2 3" xfId="4929"/>
    <cellStyle name="20% - Accent2 8 6 3" xfId="620"/>
    <cellStyle name="20% - Accent2 8 6 3 2" xfId="4931"/>
    <cellStyle name="20% - Accent2 8 6 4" xfId="4928"/>
    <cellStyle name="20% - Accent2 8 7" xfId="621"/>
    <cellStyle name="20% - Accent2 8 7 2" xfId="622"/>
    <cellStyle name="20% - Accent2 8 7 2 2" xfId="623"/>
    <cellStyle name="20% - Accent2 8 7 2 2 2" xfId="4934"/>
    <cellStyle name="20% - Accent2 8 7 2 3" xfId="4933"/>
    <cellStyle name="20% - Accent2 8 7 3" xfId="624"/>
    <cellStyle name="20% - Accent2 8 7 3 2" xfId="4935"/>
    <cellStyle name="20% - Accent2 8 7 4" xfId="4932"/>
    <cellStyle name="20% - Accent2 8 8" xfId="625"/>
    <cellStyle name="20% - Accent2 8 8 2" xfId="626"/>
    <cellStyle name="20% - Accent2 8 8 2 2" xfId="627"/>
    <cellStyle name="20% - Accent2 8 8 2 2 2" xfId="4938"/>
    <cellStyle name="20% - Accent2 8 8 2 3" xfId="4937"/>
    <cellStyle name="20% - Accent2 8 8 3" xfId="628"/>
    <cellStyle name="20% - Accent2 8 8 3 2" xfId="4939"/>
    <cellStyle name="20% - Accent2 8 8 4" xfId="4936"/>
    <cellStyle name="20% - Accent2 8 9" xfId="629"/>
    <cellStyle name="20% - Accent2 8 9 2" xfId="630"/>
    <cellStyle name="20% - Accent2 8 9 2 2" xfId="4941"/>
    <cellStyle name="20% - Accent2 8 9 3" xfId="4940"/>
    <cellStyle name="20% - Accent3" xfId="9" builtinId="38" customBuiltin="1"/>
    <cellStyle name="20% - Accent3 2" xfId="10"/>
    <cellStyle name="20% - Accent3 2 2" xfId="11"/>
    <cellStyle name="20% - Accent3 3" xfId="12"/>
    <cellStyle name="20% - Accent3 4" xfId="631"/>
    <cellStyle name="20% - Accent3 4 10" xfId="632"/>
    <cellStyle name="20% - Accent3 4 10 2" xfId="633"/>
    <cellStyle name="20% - Accent3 4 10 2 2" xfId="4944"/>
    <cellStyle name="20% - Accent3 4 10 3" xfId="4943"/>
    <cellStyle name="20% - Accent3 4 11" xfId="634"/>
    <cellStyle name="20% - Accent3 4 11 2" xfId="635"/>
    <cellStyle name="20% - Accent3 4 11 2 2" xfId="4946"/>
    <cellStyle name="20% - Accent3 4 11 3" xfId="4945"/>
    <cellStyle name="20% - Accent3 4 12" xfId="636"/>
    <cellStyle name="20% - Accent3 4 12 2" xfId="637"/>
    <cellStyle name="20% - Accent3 4 12 2 2" xfId="4948"/>
    <cellStyle name="20% - Accent3 4 12 3" xfId="4947"/>
    <cellStyle name="20% - Accent3 4 13" xfId="638"/>
    <cellStyle name="20% - Accent3 4 13 2" xfId="639"/>
    <cellStyle name="20% - Accent3 4 13 2 2" xfId="4950"/>
    <cellStyle name="20% - Accent3 4 13 3" xfId="4949"/>
    <cellStyle name="20% - Accent3 4 14" xfId="640"/>
    <cellStyle name="20% - Accent3 4 14 2" xfId="641"/>
    <cellStyle name="20% - Accent3 4 14 2 2" xfId="4952"/>
    <cellStyle name="20% - Accent3 4 14 3" xfId="4951"/>
    <cellStyle name="20% - Accent3 4 15" xfId="642"/>
    <cellStyle name="20% - Accent3 4 15 2" xfId="643"/>
    <cellStyle name="20% - Accent3 4 15 2 2" xfId="4954"/>
    <cellStyle name="20% - Accent3 4 15 3" xfId="4953"/>
    <cellStyle name="20% - Accent3 4 16" xfId="644"/>
    <cellStyle name="20% - Accent3 4 16 2" xfId="645"/>
    <cellStyle name="20% - Accent3 4 16 2 2" xfId="4956"/>
    <cellStyle name="20% - Accent3 4 16 3" xfId="4955"/>
    <cellStyle name="20% - Accent3 4 17" xfId="646"/>
    <cellStyle name="20% - Accent3 4 17 2" xfId="647"/>
    <cellStyle name="20% - Accent3 4 17 2 2" xfId="4958"/>
    <cellStyle name="20% - Accent3 4 17 3" xfId="4957"/>
    <cellStyle name="20% - Accent3 4 18" xfId="648"/>
    <cellStyle name="20% - Accent3 4 18 2" xfId="649"/>
    <cellStyle name="20% - Accent3 4 18 2 2" xfId="4960"/>
    <cellStyle name="20% - Accent3 4 18 3" xfId="4959"/>
    <cellStyle name="20% - Accent3 4 19" xfId="650"/>
    <cellStyle name="20% - Accent3 4 19 2" xfId="4961"/>
    <cellStyle name="20% - Accent3 4 2" xfId="651"/>
    <cellStyle name="20% - Accent3 4 2 2" xfId="652"/>
    <cellStyle name="20% - Accent3 4 2 2 2" xfId="653"/>
    <cellStyle name="20% - Accent3 4 2 2 2 2" xfId="4964"/>
    <cellStyle name="20% - Accent3 4 2 2 3" xfId="4963"/>
    <cellStyle name="20% - Accent3 4 2 3" xfId="654"/>
    <cellStyle name="20% - Accent3 4 2 3 2" xfId="4965"/>
    <cellStyle name="20% - Accent3 4 2 4" xfId="4962"/>
    <cellStyle name="20% - Accent3 4 20" xfId="655"/>
    <cellStyle name="20% - Accent3 4 20 2" xfId="4966"/>
    <cellStyle name="20% - Accent3 4 21" xfId="4942"/>
    <cellStyle name="20% - Accent3 4 3" xfId="656"/>
    <cellStyle name="20% - Accent3 4 3 2" xfId="657"/>
    <cellStyle name="20% - Accent3 4 3 2 2" xfId="658"/>
    <cellStyle name="20% - Accent3 4 3 2 2 2" xfId="4969"/>
    <cellStyle name="20% - Accent3 4 3 2 3" xfId="4968"/>
    <cellStyle name="20% - Accent3 4 3 3" xfId="659"/>
    <cellStyle name="20% - Accent3 4 3 3 2" xfId="4970"/>
    <cellStyle name="20% - Accent3 4 3 4" xfId="4967"/>
    <cellStyle name="20% - Accent3 4 4" xfId="660"/>
    <cellStyle name="20% - Accent3 4 4 2" xfId="661"/>
    <cellStyle name="20% - Accent3 4 4 2 2" xfId="662"/>
    <cellStyle name="20% - Accent3 4 4 2 2 2" xfId="4973"/>
    <cellStyle name="20% - Accent3 4 4 2 3" xfId="4972"/>
    <cellStyle name="20% - Accent3 4 4 3" xfId="663"/>
    <cellStyle name="20% - Accent3 4 4 3 2" xfId="4974"/>
    <cellStyle name="20% - Accent3 4 4 4" xfId="4971"/>
    <cellStyle name="20% - Accent3 4 5" xfId="664"/>
    <cellStyle name="20% - Accent3 4 5 2" xfId="665"/>
    <cellStyle name="20% - Accent3 4 5 2 2" xfId="666"/>
    <cellStyle name="20% - Accent3 4 5 2 2 2" xfId="4977"/>
    <cellStyle name="20% - Accent3 4 5 2 3" xfId="4976"/>
    <cellStyle name="20% - Accent3 4 5 3" xfId="667"/>
    <cellStyle name="20% - Accent3 4 5 3 2" xfId="4978"/>
    <cellStyle name="20% - Accent3 4 5 4" xfId="4975"/>
    <cellStyle name="20% - Accent3 4 6" xfId="668"/>
    <cellStyle name="20% - Accent3 4 6 2" xfId="669"/>
    <cellStyle name="20% - Accent3 4 6 2 2" xfId="670"/>
    <cellStyle name="20% - Accent3 4 6 2 2 2" xfId="4981"/>
    <cellStyle name="20% - Accent3 4 6 2 3" xfId="4980"/>
    <cellStyle name="20% - Accent3 4 6 3" xfId="671"/>
    <cellStyle name="20% - Accent3 4 6 3 2" xfId="4982"/>
    <cellStyle name="20% - Accent3 4 6 4" xfId="4979"/>
    <cellStyle name="20% - Accent3 4 7" xfId="672"/>
    <cellStyle name="20% - Accent3 4 7 2" xfId="673"/>
    <cellStyle name="20% - Accent3 4 7 2 2" xfId="674"/>
    <cellStyle name="20% - Accent3 4 7 2 2 2" xfId="4985"/>
    <cellStyle name="20% - Accent3 4 7 2 3" xfId="4984"/>
    <cellStyle name="20% - Accent3 4 7 3" xfId="675"/>
    <cellStyle name="20% - Accent3 4 7 3 2" xfId="4986"/>
    <cellStyle name="20% - Accent3 4 7 4" xfId="4983"/>
    <cellStyle name="20% - Accent3 4 8" xfId="676"/>
    <cellStyle name="20% - Accent3 4 8 2" xfId="677"/>
    <cellStyle name="20% - Accent3 4 8 2 2" xfId="678"/>
    <cellStyle name="20% - Accent3 4 8 2 2 2" xfId="4989"/>
    <cellStyle name="20% - Accent3 4 8 2 3" xfId="4988"/>
    <cellStyle name="20% - Accent3 4 8 3" xfId="679"/>
    <cellStyle name="20% - Accent3 4 8 3 2" xfId="4990"/>
    <cellStyle name="20% - Accent3 4 8 4" xfId="4987"/>
    <cellStyle name="20% - Accent3 4 9" xfId="680"/>
    <cellStyle name="20% - Accent3 4 9 2" xfId="681"/>
    <cellStyle name="20% - Accent3 4 9 2 2" xfId="4992"/>
    <cellStyle name="20% - Accent3 4 9 3" xfId="4991"/>
    <cellStyle name="20% - Accent3 5" xfId="682"/>
    <cellStyle name="20% - Accent3 5 10" xfId="683"/>
    <cellStyle name="20% - Accent3 5 10 2" xfId="684"/>
    <cellStyle name="20% - Accent3 5 10 2 2" xfId="4995"/>
    <cellStyle name="20% - Accent3 5 10 3" xfId="4994"/>
    <cellStyle name="20% - Accent3 5 11" xfId="685"/>
    <cellStyle name="20% - Accent3 5 11 2" xfId="686"/>
    <cellStyle name="20% - Accent3 5 11 2 2" xfId="4997"/>
    <cellStyle name="20% - Accent3 5 11 3" xfId="4996"/>
    <cellStyle name="20% - Accent3 5 12" xfId="687"/>
    <cellStyle name="20% - Accent3 5 12 2" xfId="688"/>
    <cellStyle name="20% - Accent3 5 12 2 2" xfId="4999"/>
    <cellStyle name="20% - Accent3 5 12 3" xfId="4998"/>
    <cellStyle name="20% - Accent3 5 13" xfId="689"/>
    <cellStyle name="20% - Accent3 5 13 2" xfId="690"/>
    <cellStyle name="20% - Accent3 5 13 2 2" xfId="5001"/>
    <cellStyle name="20% - Accent3 5 13 3" xfId="5000"/>
    <cellStyle name="20% - Accent3 5 14" xfId="691"/>
    <cellStyle name="20% - Accent3 5 14 2" xfId="692"/>
    <cellStyle name="20% - Accent3 5 14 2 2" xfId="5003"/>
    <cellStyle name="20% - Accent3 5 14 3" xfId="5002"/>
    <cellStyle name="20% - Accent3 5 15" xfId="693"/>
    <cellStyle name="20% - Accent3 5 15 2" xfId="694"/>
    <cellStyle name="20% - Accent3 5 15 2 2" xfId="5005"/>
    <cellStyle name="20% - Accent3 5 15 3" xfId="5004"/>
    <cellStyle name="20% - Accent3 5 16" xfId="695"/>
    <cellStyle name="20% - Accent3 5 16 2" xfId="696"/>
    <cellStyle name="20% - Accent3 5 16 2 2" xfId="5007"/>
    <cellStyle name="20% - Accent3 5 16 3" xfId="5006"/>
    <cellStyle name="20% - Accent3 5 17" xfId="697"/>
    <cellStyle name="20% - Accent3 5 17 2" xfId="698"/>
    <cellStyle name="20% - Accent3 5 17 2 2" xfId="5009"/>
    <cellStyle name="20% - Accent3 5 17 3" xfId="5008"/>
    <cellStyle name="20% - Accent3 5 18" xfId="699"/>
    <cellStyle name="20% - Accent3 5 18 2" xfId="700"/>
    <cellStyle name="20% - Accent3 5 18 2 2" xfId="5011"/>
    <cellStyle name="20% - Accent3 5 18 3" xfId="5010"/>
    <cellStyle name="20% - Accent3 5 19" xfId="701"/>
    <cellStyle name="20% - Accent3 5 19 2" xfId="5012"/>
    <cellStyle name="20% - Accent3 5 2" xfId="702"/>
    <cellStyle name="20% - Accent3 5 2 2" xfId="703"/>
    <cellStyle name="20% - Accent3 5 2 2 2" xfId="704"/>
    <cellStyle name="20% - Accent3 5 2 2 2 2" xfId="5015"/>
    <cellStyle name="20% - Accent3 5 2 2 3" xfId="5014"/>
    <cellStyle name="20% - Accent3 5 2 3" xfId="705"/>
    <cellStyle name="20% - Accent3 5 2 3 2" xfId="5016"/>
    <cellStyle name="20% - Accent3 5 2 4" xfId="5013"/>
    <cellStyle name="20% - Accent3 5 20" xfId="706"/>
    <cellStyle name="20% - Accent3 5 20 2" xfId="5017"/>
    <cellStyle name="20% - Accent3 5 21" xfId="4993"/>
    <cellStyle name="20% - Accent3 5 3" xfId="707"/>
    <cellStyle name="20% - Accent3 5 3 2" xfId="708"/>
    <cellStyle name="20% - Accent3 5 3 2 2" xfId="709"/>
    <cellStyle name="20% - Accent3 5 3 2 2 2" xfId="5020"/>
    <cellStyle name="20% - Accent3 5 3 2 3" xfId="5019"/>
    <cellStyle name="20% - Accent3 5 3 3" xfId="710"/>
    <cellStyle name="20% - Accent3 5 3 3 2" xfId="5021"/>
    <cellStyle name="20% - Accent3 5 3 4" xfId="5018"/>
    <cellStyle name="20% - Accent3 5 4" xfId="711"/>
    <cellStyle name="20% - Accent3 5 4 2" xfId="712"/>
    <cellStyle name="20% - Accent3 5 4 2 2" xfId="713"/>
    <cellStyle name="20% - Accent3 5 4 2 2 2" xfId="5024"/>
    <cellStyle name="20% - Accent3 5 4 2 3" xfId="5023"/>
    <cellStyle name="20% - Accent3 5 4 3" xfId="714"/>
    <cellStyle name="20% - Accent3 5 4 3 2" xfId="5025"/>
    <cellStyle name="20% - Accent3 5 4 4" xfId="5022"/>
    <cellStyle name="20% - Accent3 5 5" xfId="715"/>
    <cellStyle name="20% - Accent3 5 5 2" xfId="716"/>
    <cellStyle name="20% - Accent3 5 5 2 2" xfId="717"/>
    <cellStyle name="20% - Accent3 5 5 2 2 2" xfId="5028"/>
    <cellStyle name="20% - Accent3 5 5 2 3" xfId="5027"/>
    <cellStyle name="20% - Accent3 5 5 3" xfId="718"/>
    <cellStyle name="20% - Accent3 5 5 3 2" xfId="5029"/>
    <cellStyle name="20% - Accent3 5 5 4" xfId="5026"/>
    <cellStyle name="20% - Accent3 5 6" xfId="719"/>
    <cellStyle name="20% - Accent3 5 6 2" xfId="720"/>
    <cellStyle name="20% - Accent3 5 6 2 2" xfId="721"/>
    <cellStyle name="20% - Accent3 5 6 2 2 2" xfId="5032"/>
    <cellStyle name="20% - Accent3 5 6 2 3" xfId="5031"/>
    <cellStyle name="20% - Accent3 5 6 3" xfId="722"/>
    <cellStyle name="20% - Accent3 5 6 3 2" xfId="5033"/>
    <cellStyle name="20% - Accent3 5 6 4" xfId="5030"/>
    <cellStyle name="20% - Accent3 5 7" xfId="723"/>
    <cellStyle name="20% - Accent3 5 7 2" xfId="724"/>
    <cellStyle name="20% - Accent3 5 7 2 2" xfId="725"/>
    <cellStyle name="20% - Accent3 5 7 2 2 2" xfId="5036"/>
    <cellStyle name="20% - Accent3 5 7 2 3" xfId="5035"/>
    <cellStyle name="20% - Accent3 5 7 3" xfId="726"/>
    <cellStyle name="20% - Accent3 5 7 3 2" xfId="5037"/>
    <cellStyle name="20% - Accent3 5 7 4" xfId="5034"/>
    <cellStyle name="20% - Accent3 5 8" xfId="727"/>
    <cellStyle name="20% - Accent3 5 8 2" xfId="728"/>
    <cellStyle name="20% - Accent3 5 8 2 2" xfId="729"/>
    <cellStyle name="20% - Accent3 5 8 2 2 2" xfId="5040"/>
    <cellStyle name="20% - Accent3 5 8 2 3" xfId="5039"/>
    <cellStyle name="20% - Accent3 5 8 3" xfId="730"/>
    <cellStyle name="20% - Accent3 5 8 3 2" xfId="5041"/>
    <cellStyle name="20% - Accent3 5 8 4" xfId="5038"/>
    <cellStyle name="20% - Accent3 5 9" xfId="731"/>
    <cellStyle name="20% - Accent3 5 9 2" xfId="732"/>
    <cellStyle name="20% - Accent3 5 9 2 2" xfId="5043"/>
    <cellStyle name="20% - Accent3 5 9 3" xfId="5042"/>
    <cellStyle name="20% - Accent3 6" xfId="733"/>
    <cellStyle name="20% - Accent3 6 10" xfId="734"/>
    <cellStyle name="20% - Accent3 6 10 2" xfId="735"/>
    <cellStyle name="20% - Accent3 6 10 2 2" xfId="5046"/>
    <cellStyle name="20% - Accent3 6 10 3" xfId="5045"/>
    <cellStyle name="20% - Accent3 6 11" xfId="736"/>
    <cellStyle name="20% - Accent3 6 11 2" xfId="737"/>
    <cellStyle name="20% - Accent3 6 11 2 2" xfId="5048"/>
    <cellStyle name="20% - Accent3 6 11 3" xfId="5047"/>
    <cellStyle name="20% - Accent3 6 12" xfId="738"/>
    <cellStyle name="20% - Accent3 6 12 2" xfId="739"/>
    <cellStyle name="20% - Accent3 6 12 2 2" xfId="5050"/>
    <cellStyle name="20% - Accent3 6 12 3" xfId="5049"/>
    <cellStyle name="20% - Accent3 6 13" xfId="740"/>
    <cellStyle name="20% - Accent3 6 13 2" xfId="741"/>
    <cellStyle name="20% - Accent3 6 13 2 2" xfId="5052"/>
    <cellStyle name="20% - Accent3 6 13 3" xfId="5051"/>
    <cellStyle name="20% - Accent3 6 14" xfId="742"/>
    <cellStyle name="20% - Accent3 6 14 2" xfId="743"/>
    <cellStyle name="20% - Accent3 6 14 2 2" xfId="5054"/>
    <cellStyle name="20% - Accent3 6 14 3" xfId="5053"/>
    <cellStyle name="20% - Accent3 6 15" xfId="744"/>
    <cellStyle name="20% - Accent3 6 15 2" xfId="745"/>
    <cellStyle name="20% - Accent3 6 15 2 2" xfId="5056"/>
    <cellStyle name="20% - Accent3 6 15 3" xfId="5055"/>
    <cellStyle name="20% - Accent3 6 16" xfId="746"/>
    <cellStyle name="20% - Accent3 6 16 2" xfId="747"/>
    <cellStyle name="20% - Accent3 6 16 2 2" xfId="5058"/>
    <cellStyle name="20% - Accent3 6 16 3" xfId="5057"/>
    <cellStyle name="20% - Accent3 6 17" xfId="748"/>
    <cellStyle name="20% - Accent3 6 17 2" xfId="749"/>
    <cellStyle name="20% - Accent3 6 17 2 2" xfId="5060"/>
    <cellStyle name="20% - Accent3 6 17 3" xfId="5059"/>
    <cellStyle name="20% - Accent3 6 18" xfId="750"/>
    <cellStyle name="20% - Accent3 6 18 2" xfId="751"/>
    <cellStyle name="20% - Accent3 6 18 2 2" xfId="5062"/>
    <cellStyle name="20% - Accent3 6 18 3" xfId="5061"/>
    <cellStyle name="20% - Accent3 6 19" xfId="752"/>
    <cellStyle name="20% - Accent3 6 19 2" xfId="5063"/>
    <cellStyle name="20% - Accent3 6 2" xfId="753"/>
    <cellStyle name="20% - Accent3 6 2 2" xfId="754"/>
    <cellStyle name="20% - Accent3 6 2 2 2" xfId="755"/>
    <cellStyle name="20% - Accent3 6 2 2 2 2" xfId="5066"/>
    <cellStyle name="20% - Accent3 6 2 2 3" xfId="5065"/>
    <cellStyle name="20% - Accent3 6 2 3" xfId="756"/>
    <cellStyle name="20% - Accent3 6 2 3 2" xfId="5067"/>
    <cellStyle name="20% - Accent3 6 2 4" xfId="5064"/>
    <cellStyle name="20% - Accent3 6 20" xfId="757"/>
    <cellStyle name="20% - Accent3 6 20 2" xfId="5068"/>
    <cellStyle name="20% - Accent3 6 21" xfId="5044"/>
    <cellStyle name="20% - Accent3 6 3" xfId="758"/>
    <cellStyle name="20% - Accent3 6 3 2" xfId="759"/>
    <cellStyle name="20% - Accent3 6 3 2 2" xfId="760"/>
    <cellStyle name="20% - Accent3 6 3 2 2 2" xfId="5071"/>
    <cellStyle name="20% - Accent3 6 3 2 3" xfId="5070"/>
    <cellStyle name="20% - Accent3 6 3 3" xfId="761"/>
    <cellStyle name="20% - Accent3 6 3 3 2" xfId="5072"/>
    <cellStyle name="20% - Accent3 6 3 4" xfId="5069"/>
    <cellStyle name="20% - Accent3 6 4" xfId="762"/>
    <cellStyle name="20% - Accent3 6 4 2" xfId="763"/>
    <cellStyle name="20% - Accent3 6 4 2 2" xfId="764"/>
    <cellStyle name="20% - Accent3 6 4 2 2 2" xfId="5075"/>
    <cellStyle name="20% - Accent3 6 4 2 3" xfId="5074"/>
    <cellStyle name="20% - Accent3 6 4 3" xfId="765"/>
    <cellStyle name="20% - Accent3 6 4 3 2" xfId="5076"/>
    <cellStyle name="20% - Accent3 6 4 4" xfId="5073"/>
    <cellStyle name="20% - Accent3 6 5" xfId="766"/>
    <cellStyle name="20% - Accent3 6 5 2" xfId="767"/>
    <cellStyle name="20% - Accent3 6 5 2 2" xfId="768"/>
    <cellStyle name="20% - Accent3 6 5 2 2 2" xfId="5079"/>
    <cellStyle name="20% - Accent3 6 5 2 3" xfId="5078"/>
    <cellStyle name="20% - Accent3 6 5 3" xfId="769"/>
    <cellStyle name="20% - Accent3 6 5 3 2" xfId="5080"/>
    <cellStyle name="20% - Accent3 6 5 4" xfId="5077"/>
    <cellStyle name="20% - Accent3 6 6" xfId="770"/>
    <cellStyle name="20% - Accent3 6 6 2" xfId="771"/>
    <cellStyle name="20% - Accent3 6 6 2 2" xfId="772"/>
    <cellStyle name="20% - Accent3 6 6 2 2 2" xfId="5083"/>
    <cellStyle name="20% - Accent3 6 6 2 3" xfId="5082"/>
    <cellStyle name="20% - Accent3 6 6 3" xfId="773"/>
    <cellStyle name="20% - Accent3 6 6 3 2" xfId="5084"/>
    <cellStyle name="20% - Accent3 6 6 4" xfId="5081"/>
    <cellStyle name="20% - Accent3 6 7" xfId="774"/>
    <cellStyle name="20% - Accent3 6 7 2" xfId="775"/>
    <cellStyle name="20% - Accent3 6 7 2 2" xfId="776"/>
    <cellStyle name="20% - Accent3 6 7 2 2 2" xfId="5087"/>
    <cellStyle name="20% - Accent3 6 7 2 3" xfId="5086"/>
    <cellStyle name="20% - Accent3 6 7 3" xfId="777"/>
    <cellStyle name="20% - Accent3 6 7 3 2" xfId="5088"/>
    <cellStyle name="20% - Accent3 6 7 4" xfId="5085"/>
    <cellStyle name="20% - Accent3 6 8" xfId="778"/>
    <cellStyle name="20% - Accent3 6 8 2" xfId="779"/>
    <cellStyle name="20% - Accent3 6 8 2 2" xfId="780"/>
    <cellStyle name="20% - Accent3 6 8 2 2 2" xfId="5091"/>
    <cellStyle name="20% - Accent3 6 8 2 3" xfId="5090"/>
    <cellStyle name="20% - Accent3 6 8 3" xfId="781"/>
    <cellStyle name="20% - Accent3 6 8 3 2" xfId="5092"/>
    <cellStyle name="20% - Accent3 6 8 4" xfId="5089"/>
    <cellStyle name="20% - Accent3 6 9" xfId="782"/>
    <cellStyle name="20% - Accent3 6 9 2" xfId="783"/>
    <cellStyle name="20% - Accent3 6 9 2 2" xfId="5094"/>
    <cellStyle name="20% - Accent3 6 9 3" xfId="5093"/>
    <cellStyle name="20% - Accent3 7" xfId="784"/>
    <cellStyle name="20% - Accent3 7 10" xfId="785"/>
    <cellStyle name="20% - Accent3 7 10 2" xfId="786"/>
    <cellStyle name="20% - Accent3 7 10 2 2" xfId="5097"/>
    <cellStyle name="20% - Accent3 7 10 3" xfId="5096"/>
    <cellStyle name="20% - Accent3 7 11" xfId="787"/>
    <cellStyle name="20% - Accent3 7 11 2" xfId="788"/>
    <cellStyle name="20% - Accent3 7 11 2 2" xfId="5099"/>
    <cellStyle name="20% - Accent3 7 11 3" xfId="5098"/>
    <cellStyle name="20% - Accent3 7 12" xfId="789"/>
    <cellStyle name="20% - Accent3 7 12 2" xfId="790"/>
    <cellStyle name="20% - Accent3 7 12 2 2" xfId="5101"/>
    <cellStyle name="20% - Accent3 7 12 3" xfId="5100"/>
    <cellStyle name="20% - Accent3 7 13" xfId="791"/>
    <cellStyle name="20% - Accent3 7 13 2" xfId="792"/>
    <cellStyle name="20% - Accent3 7 13 2 2" xfId="5103"/>
    <cellStyle name="20% - Accent3 7 13 3" xfId="5102"/>
    <cellStyle name="20% - Accent3 7 14" xfId="793"/>
    <cellStyle name="20% - Accent3 7 14 2" xfId="794"/>
    <cellStyle name="20% - Accent3 7 14 2 2" xfId="5105"/>
    <cellStyle name="20% - Accent3 7 14 3" xfId="5104"/>
    <cellStyle name="20% - Accent3 7 15" xfId="795"/>
    <cellStyle name="20% - Accent3 7 15 2" xfId="796"/>
    <cellStyle name="20% - Accent3 7 15 2 2" xfId="5107"/>
    <cellStyle name="20% - Accent3 7 15 3" xfId="5106"/>
    <cellStyle name="20% - Accent3 7 16" xfId="797"/>
    <cellStyle name="20% - Accent3 7 16 2" xfId="798"/>
    <cellStyle name="20% - Accent3 7 16 2 2" xfId="5109"/>
    <cellStyle name="20% - Accent3 7 16 3" xfId="5108"/>
    <cellStyle name="20% - Accent3 7 17" xfId="799"/>
    <cellStyle name="20% - Accent3 7 17 2" xfId="800"/>
    <cellStyle name="20% - Accent3 7 17 2 2" xfId="5111"/>
    <cellStyle name="20% - Accent3 7 17 3" xfId="5110"/>
    <cellStyle name="20% - Accent3 7 18" xfId="801"/>
    <cellStyle name="20% - Accent3 7 18 2" xfId="802"/>
    <cellStyle name="20% - Accent3 7 18 2 2" xfId="5113"/>
    <cellStyle name="20% - Accent3 7 18 3" xfId="5112"/>
    <cellStyle name="20% - Accent3 7 19" xfId="803"/>
    <cellStyle name="20% - Accent3 7 19 2" xfId="5114"/>
    <cellStyle name="20% - Accent3 7 2" xfId="804"/>
    <cellStyle name="20% - Accent3 7 2 2" xfId="805"/>
    <cellStyle name="20% - Accent3 7 2 2 2" xfId="806"/>
    <cellStyle name="20% - Accent3 7 2 2 2 2" xfId="5117"/>
    <cellStyle name="20% - Accent3 7 2 2 3" xfId="5116"/>
    <cellStyle name="20% - Accent3 7 2 3" xfId="807"/>
    <cellStyle name="20% - Accent3 7 2 3 2" xfId="5118"/>
    <cellStyle name="20% - Accent3 7 2 4" xfId="5115"/>
    <cellStyle name="20% - Accent3 7 20" xfId="808"/>
    <cellStyle name="20% - Accent3 7 20 2" xfId="5119"/>
    <cellStyle name="20% - Accent3 7 21" xfId="5095"/>
    <cellStyle name="20% - Accent3 7 3" xfId="809"/>
    <cellStyle name="20% - Accent3 7 3 2" xfId="810"/>
    <cellStyle name="20% - Accent3 7 3 2 2" xfId="811"/>
    <cellStyle name="20% - Accent3 7 3 2 2 2" xfId="5122"/>
    <cellStyle name="20% - Accent3 7 3 2 3" xfId="5121"/>
    <cellStyle name="20% - Accent3 7 3 3" xfId="812"/>
    <cellStyle name="20% - Accent3 7 3 3 2" xfId="5123"/>
    <cellStyle name="20% - Accent3 7 3 4" xfId="5120"/>
    <cellStyle name="20% - Accent3 7 4" xfId="813"/>
    <cellStyle name="20% - Accent3 7 4 2" xfId="814"/>
    <cellStyle name="20% - Accent3 7 4 2 2" xfId="815"/>
    <cellStyle name="20% - Accent3 7 4 2 2 2" xfId="5126"/>
    <cellStyle name="20% - Accent3 7 4 2 3" xfId="5125"/>
    <cellStyle name="20% - Accent3 7 4 3" xfId="816"/>
    <cellStyle name="20% - Accent3 7 4 3 2" xfId="5127"/>
    <cellStyle name="20% - Accent3 7 4 4" xfId="5124"/>
    <cellStyle name="20% - Accent3 7 5" xfId="817"/>
    <cellStyle name="20% - Accent3 7 5 2" xfId="818"/>
    <cellStyle name="20% - Accent3 7 5 2 2" xfId="819"/>
    <cellStyle name="20% - Accent3 7 5 2 2 2" xfId="5130"/>
    <cellStyle name="20% - Accent3 7 5 2 3" xfId="5129"/>
    <cellStyle name="20% - Accent3 7 5 3" xfId="820"/>
    <cellStyle name="20% - Accent3 7 5 3 2" xfId="5131"/>
    <cellStyle name="20% - Accent3 7 5 4" xfId="5128"/>
    <cellStyle name="20% - Accent3 7 6" xfId="821"/>
    <cellStyle name="20% - Accent3 7 6 2" xfId="822"/>
    <cellStyle name="20% - Accent3 7 6 2 2" xfId="823"/>
    <cellStyle name="20% - Accent3 7 6 2 2 2" xfId="5134"/>
    <cellStyle name="20% - Accent3 7 6 2 3" xfId="5133"/>
    <cellStyle name="20% - Accent3 7 6 3" xfId="824"/>
    <cellStyle name="20% - Accent3 7 6 3 2" xfId="5135"/>
    <cellStyle name="20% - Accent3 7 6 4" xfId="5132"/>
    <cellStyle name="20% - Accent3 7 7" xfId="825"/>
    <cellStyle name="20% - Accent3 7 7 2" xfId="826"/>
    <cellStyle name="20% - Accent3 7 7 2 2" xfId="827"/>
    <cellStyle name="20% - Accent3 7 7 2 2 2" xfId="5138"/>
    <cellStyle name="20% - Accent3 7 7 2 3" xfId="5137"/>
    <cellStyle name="20% - Accent3 7 7 3" xfId="828"/>
    <cellStyle name="20% - Accent3 7 7 3 2" xfId="5139"/>
    <cellStyle name="20% - Accent3 7 7 4" xfId="5136"/>
    <cellStyle name="20% - Accent3 7 8" xfId="829"/>
    <cellStyle name="20% - Accent3 7 8 2" xfId="830"/>
    <cellStyle name="20% - Accent3 7 8 2 2" xfId="831"/>
    <cellStyle name="20% - Accent3 7 8 2 2 2" xfId="5142"/>
    <cellStyle name="20% - Accent3 7 8 2 3" xfId="5141"/>
    <cellStyle name="20% - Accent3 7 8 3" xfId="832"/>
    <cellStyle name="20% - Accent3 7 8 3 2" xfId="5143"/>
    <cellStyle name="20% - Accent3 7 8 4" xfId="5140"/>
    <cellStyle name="20% - Accent3 7 9" xfId="833"/>
    <cellStyle name="20% - Accent3 7 9 2" xfId="834"/>
    <cellStyle name="20% - Accent3 7 9 2 2" xfId="5145"/>
    <cellStyle name="20% - Accent3 7 9 3" xfId="5144"/>
    <cellStyle name="20% - Accent3 8" xfId="835"/>
    <cellStyle name="20% - Accent3 8 10" xfId="836"/>
    <cellStyle name="20% - Accent3 8 10 2" xfId="837"/>
    <cellStyle name="20% - Accent3 8 10 2 2" xfId="5148"/>
    <cellStyle name="20% - Accent3 8 10 3" xfId="5147"/>
    <cellStyle name="20% - Accent3 8 11" xfId="838"/>
    <cellStyle name="20% - Accent3 8 11 2" xfId="839"/>
    <cellStyle name="20% - Accent3 8 11 2 2" xfId="5150"/>
    <cellStyle name="20% - Accent3 8 11 3" xfId="5149"/>
    <cellStyle name="20% - Accent3 8 12" xfId="840"/>
    <cellStyle name="20% - Accent3 8 12 2" xfId="841"/>
    <cellStyle name="20% - Accent3 8 12 2 2" xfId="5152"/>
    <cellStyle name="20% - Accent3 8 12 3" xfId="5151"/>
    <cellStyle name="20% - Accent3 8 13" xfId="842"/>
    <cellStyle name="20% - Accent3 8 13 2" xfId="843"/>
    <cellStyle name="20% - Accent3 8 13 2 2" xfId="5154"/>
    <cellStyle name="20% - Accent3 8 13 3" xfId="5153"/>
    <cellStyle name="20% - Accent3 8 14" xfId="844"/>
    <cellStyle name="20% - Accent3 8 14 2" xfId="845"/>
    <cellStyle name="20% - Accent3 8 14 2 2" xfId="5156"/>
    <cellStyle name="20% - Accent3 8 14 3" xfId="5155"/>
    <cellStyle name="20% - Accent3 8 15" xfId="846"/>
    <cellStyle name="20% - Accent3 8 15 2" xfId="847"/>
    <cellStyle name="20% - Accent3 8 15 2 2" xfId="5158"/>
    <cellStyle name="20% - Accent3 8 15 3" xfId="5157"/>
    <cellStyle name="20% - Accent3 8 16" xfId="848"/>
    <cellStyle name="20% - Accent3 8 16 2" xfId="849"/>
    <cellStyle name="20% - Accent3 8 16 2 2" xfId="5160"/>
    <cellStyle name="20% - Accent3 8 16 3" xfId="5159"/>
    <cellStyle name="20% - Accent3 8 17" xfId="850"/>
    <cellStyle name="20% - Accent3 8 17 2" xfId="851"/>
    <cellStyle name="20% - Accent3 8 17 2 2" xfId="5162"/>
    <cellStyle name="20% - Accent3 8 17 3" xfId="5161"/>
    <cellStyle name="20% - Accent3 8 18" xfId="852"/>
    <cellStyle name="20% - Accent3 8 18 2" xfId="853"/>
    <cellStyle name="20% - Accent3 8 18 2 2" xfId="5164"/>
    <cellStyle name="20% - Accent3 8 18 3" xfId="5163"/>
    <cellStyle name="20% - Accent3 8 19" xfId="854"/>
    <cellStyle name="20% - Accent3 8 19 2" xfId="5165"/>
    <cellStyle name="20% - Accent3 8 2" xfId="855"/>
    <cellStyle name="20% - Accent3 8 2 2" xfId="856"/>
    <cellStyle name="20% - Accent3 8 2 2 2" xfId="857"/>
    <cellStyle name="20% - Accent3 8 2 2 2 2" xfId="5168"/>
    <cellStyle name="20% - Accent3 8 2 2 3" xfId="5167"/>
    <cellStyle name="20% - Accent3 8 2 3" xfId="858"/>
    <cellStyle name="20% - Accent3 8 2 3 2" xfId="5169"/>
    <cellStyle name="20% - Accent3 8 2 4" xfId="5166"/>
    <cellStyle name="20% - Accent3 8 20" xfId="859"/>
    <cellStyle name="20% - Accent3 8 20 2" xfId="5170"/>
    <cellStyle name="20% - Accent3 8 21" xfId="5146"/>
    <cellStyle name="20% - Accent3 8 3" xfId="860"/>
    <cellStyle name="20% - Accent3 8 3 2" xfId="861"/>
    <cellStyle name="20% - Accent3 8 3 2 2" xfId="862"/>
    <cellStyle name="20% - Accent3 8 3 2 2 2" xfId="5173"/>
    <cellStyle name="20% - Accent3 8 3 2 3" xfId="5172"/>
    <cellStyle name="20% - Accent3 8 3 3" xfId="863"/>
    <cellStyle name="20% - Accent3 8 3 3 2" xfId="5174"/>
    <cellStyle name="20% - Accent3 8 3 4" xfId="5171"/>
    <cellStyle name="20% - Accent3 8 4" xfId="864"/>
    <cellStyle name="20% - Accent3 8 4 2" xfId="865"/>
    <cellStyle name="20% - Accent3 8 4 2 2" xfId="866"/>
    <cellStyle name="20% - Accent3 8 4 2 2 2" xfId="5177"/>
    <cellStyle name="20% - Accent3 8 4 2 3" xfId="5176"/>
    <cellStyle name="20% - Accent3 8 4 3" xfId="867"/>
    <cellStyle name="20% - Accent3 8 4 3 2" xfId="5178"/>
    <cellStyle name="20% - Accent3 8 4 4" xfId="5175"/>
    <cellStyle name="20% - Accent3 8 5" xfId="868"/>
    <cellStyle name="20% - Accent3 8 5 2" xfId="869"/>
    <cellStyle name="20% - Accent3 8 5 2 2" xfId="870"/>
    <cellStyle name="20% - Accent3 8 5 2 2 2" xfId="5181"/>
    <cellStyle name="20% - Accent3 8 5 2 3" xfId="5180"/>
    <cellStyle name="20% - Accent3 8 5 3" xfId="871"/>
    <cellStyle name="20% - Accent3 8 5 3 2" xfId="5182"/>
    <cellStyle name="20% - Accent3 8 5 4" xfId="5179"/>
    <cellStyle name="20% - Accent3 8 6" xfId="872"/>
    <cellStyle name="20% - Accent3 8 6 2" xfId="873"/>
    <cellStyle name="20% - Accent3 8 6 2 2" xfId="874"/>
    <cellStyle name="20% - Accent3 8 6 2 2 2" xfId="5185"/>
    <cellStyle name="20% - Accent3 8 6 2 3" xfId="5184"/>
    <cellStyle name="20% - Accent3 8 6 3" xfId="875"/>
    <cellStyle name="20% - Accent3 8 6 3 2" xfId="5186"/>
    <cellStyle name="20% - Accent3 8 6 4" xfId="5183"/>
    <cellStyle name="20% - Accent3 8 7" xfId="876"/>
    <cellStyle name="20% - Accent3 8 7 2" xfId="877"/>
    <cellStyle name="20% - Accent3 8 7 2 2" xfId="878"/>
    <cellStyle name="20% - Accent3 8 7 2 2 2" xfId="5189"/>
    <cellStyle name="20% - Accent3 8 7 2 3" xfId="5188"/>
    <cellStyle name="20% - Accent3 8 7 3" xfId="879"/>
    <cellStyle name="20% - Accent3 8 7 3 2" xfId="5190"/>
    <cellStyle name="20% - Accent3 8 7 4" xfId="5187"/>
    <cellStyle name="20% - Accent3 8 8" xfId="880"/>
    <cellStyle name="20% - Accent3 8 8 2" xfId="881"/>
    <cellStyle name="20% - Accent3 8 8 2 2" xfId="882"/>
    <cellStyle name="20% - Accent3 8 8 2 2 2" xfId="5193"/>
    <cellStyle name="20% - Accent3 8 8 2 3" xfId="5192"/>
    <cellStyle name="20% - Accent3 8 8 3" xfId="883"/>
    <cellStyle name="20% - Accent3 8 8 3 2" xfId="5194"/>
    <cellStyle name="20% - Accent3 8 8 4" xfId="5191"/>
    <cellStyle name="20% - Accent3 8 9" xfId="884"/>
    <cellStyle name="20% - Accent3 8 9 2" xfId="885"/>
    <cellStyle name="20% - Accent3 8 9 2 2" xfId="5196"/>
    <cellStyle name="20% - Accent3 8 9 3" xfId="5195"/>
    <cellStyle name="20% - Accent4" xfId="13" builtinId="42" customBuiltin="1"/>
    <cellStyle name="20% - Accent4 2" xfId="14"/>
    <cellStyle name="20% - Accent4 2 2" xfId="15"/>
    <cellStyle name="20% - Accent4 3" xfId="16"/>
    <cellStyle name="20% - Accent4 4" xfId="886"/>
    <cellStyle name="20% - Accent4 4 10" xfId="887"/>
    <cellStyle name="20% - Accent4 4 10 2" xfId="888"/>
    <cellStyle name="20% - Accent4 4 10 2 2" xfId="5199"/>
    <cellStyle name="20% - Accent4 4 10 3" xfId="5198"/>
    <cellStyle name="20% - Accent4 4 11" xfId="889"/>
    <cellStyle name="20% - Accent4 4 11 2" xfId="890"/>
    <cellStyle name="20% - Accent4 4 11 2 2" xfId="5201"/>
    <cellStyle name="20% - Accent4 4 11 3" xfId="5200"/>
    <cellStyle name="20% - Accent4 4 12" xfId="891"/>
    <cellStyle name="20% - Accent4 4 12 2" xfId="892"/>
    <cellStyle name="20% - Accent4 4 12 2 2" xfId="5203"/>
    <cellStyle name="20% - Accent4 4 12 3" xfId="5202"/>
    <cellStyle name="20% - Accent4 4 13" xfId="893"/>
    <cellStyle name="20% - Accent4 4 13 2" xfId="894"/>
    <cellStyle name="20% - Accent4 4 13 2 2" xfId="5205"/>
    <cellStyle name="20% - Accent4 4 13 3" xfId="5204"/>
    <cellStyle name="20% - Accent4 4 14" xfId="895"/>
    <cellStyle name="20% - Accent4 4 14 2" xfId="896"/>
    <cellStyle name="20% - Accent4 4 14 2 2" xfId="5207"/>
    <cellStyle name="20% - Accent4 4 14 3" xfId="5206"/>
    <cellStyle name="20% - Accent4 4 15" xfId="897"/>
    <cellStyle name="20% - Accent4 4 15 2" xfId="898"/>
    <cellStyle name="20% - Accent4 4 15 2 2" xfId="5209"/>
    <cellStyle name="20% - Accent4 4 15 3" xfId="5208"/>
    <cellStyle name="20% - Accent4 4 16" xfId="899"/>
    <cellStyle name="20% - Accent4 4 16 2" xfId="900"/>
    <cellStyle name="20% - Accent4 4 16 2 2" xfId="5211"/>
    <cellStyle name="20% - Accent4 4 16 3" xfId="5210"/>
    <cellStyle name="20% - Accent4 4 17" xfId="901"/>
    <cellStyle name="20% - Accent4 4 17 2" xfId="902"/>
    <cellStyle name="20% - Accent4 4 17 2 2" xfId="5213"/>
    <cellStyle name="20% - Accent4 4 17 3" xfId="5212"/>
    <cellStyle name="20% - Accent4 4 18" xfId="903"/>
    <cellStyle name="20% - Accent4 4 18 2" xfId="904"/>
    <cellStyle name="20% - Accent4 4 18 2 2" xfId="5215"/>
    <cellStyle name="20% - Accent4 4 18 3" xfId="5214"/>
    <cellStyle name="20% - Accent4 4 19" xfId="905"/>
    <cellStyle name="20% - Accent4 4 19 2" xfId="5216"/>
    <cellStyle name="20% - Accent4 4 2" xfId="906"/>
    <cellStyle name="20% - Accent4 4 2 2" xfId="907"/>
    <cellStyle name="20% - Accent4 4 2 2 2" xfId="908"/>
    <cellStyle name="20% - Accent4 4 2 2 2 2" xfId="5219"/>
    <cellStyle name="20% - Accent4 4 2 2 3" xfId="5218"/>
    <cellStyle name="20% - Accent4 4 2 3" xfId="909"/>
    <cellStyle name="20% - Accent4 4 2 3 2" xfId="5220"/>
    <cellStyle name="20% - Accent4 4 2 4" xfId="5217"/>
    <cellStyle name="20% - Accent4 4 20" xfId="910"/>
    <cellStyle name="20% - Accent4 4 20 2" xfId="5221"/>
    <cellStyle name="20% - Accent4 4 21" xfId="5197"/>
    <cellStyle name="20% - Accent4 4 3" xfId="911"/>
    <cellStyle name="20% - Accent4 4 3 2" xfId="912"/>
    <cellStyle name="20% - Accent4 4 3 2 2" xfId="913"/>
    <cellStyle name="20% - Accent4 4 3 2 2 2" xfId="5224"/>
    <cellStyle name="20% - Accent4 4 3 2 3" xfId="5223"/>
    <cellStyle name="20% - Accent4 4 3 3" xfId="914"/>
    <cellStyle name="20% - Accent4 4 3 3 2" xfId="5225"/>
    <cellStyle name="20% - Accent4 4 3 4" xfId="5222"/>
    <cellStyle name="20% - Accent4 4 4" xfId="915"/>
    <cellStyle name="20% - Accent4 4 4 2" xfId="916"/>
    <cellStyle name="20% - Accent4 4 4 2 2" xfId="917"/>
    <cellStyle name="20% - Accent4 4 4 2 2 2" xfId="5228"/>
    <cellStyle name="20% - Accent4 4 4 2 3" xfId="5227"/>
    <cellStyle name="20% - Accent4 4 4 3" xfId="918"/>
    <cellStyle name="20% - Accent4 4 4 3 2" xfId="5229"/>
    <cellStyle name="20% - Accent4 4 4 4" xfId="5226"/>
    <cellStyle name="20% - Accent4 4 5" xfId="919"/>
    <cellStyle name="20% - Accent4 4 5 2" xfId="920"/>
    <cellStyle name="20% - Accent4 4 5 2 2" xfId="921"/>
    <cellStyle name="20% - Accent4 4 5 2 2 2" xfId="5232"/>
    <cellStyle name="20% - Accent4 4 5 2 3" xfId="5231"/>
    <cellStyle name="20% - Accent4 4 5 3" xfId="922"/>
    <cellStyle name="20% - Accent4 4 5 3 2" xfId="5233"/>
    <cellStyle name="20% - Accent4 4 5 4" xfId="5230"/>
    <cellStyle name="20% - Accent4 4 6" xfId="923"/>
    <cellStyle name="20% - Accent4 4 6 2" xfId="924"/>
    <cellStyle name="20% - Accent4 4 6 2 2" xfId="925"/>
    <cellStyle name="20% - Accent4 4 6 2 2 2" xfId="5236"/>
    <cellStyle name="20% - Accent4 4 6 2 3" xfId="5235"/>
    <cellStyle name="20% - Accent4 4 6 3" xfId="926"/>
    <cellStyle name="20% - Accent4 4 6 3 2" xfId="5237"/>
    <cellStyle name="20% - Accent4 4 6 4" xfId="5234"/>
    <cellStyle name="20% - Accent4 4 7" xfId="927"/>
    <cellStyle name="20% - Accent4 4 7 2" xfId="928"/>
    <cellStyle name="20% - Accent4 4 7 2 2" xfId="929"/>
    <cellStyle name="20% - Accent4 4 7 2 2 2" xfId="5240"/>
    <cellStyle name="20% - Accent4 4 7 2 3" xfId="5239"/>
    <cellStyle name="20% - Accent4 4 7 3" xfId="930"/>
    <cellStyle name="20% - Accent4 4 7 3 2" xfId="5241"/>
    <cellStyle name="20% - Accent4 4 7 4" xfId="5238"/>
    <cellStyle name="20% - Accent4 4 8" xfId="931"/>
    <cellStyle name="20% - Accent4 4 8 2" xfId="932"/>
    <cellStyle name="20% - Accent4 4 8 2 2" xfId="933"/>
    <cellStyle name="20% - Accent4 4 8 2 2 2" xfId="5244"/>
    <cellStyle name="20% - Accent4 4 8 2 3" xfId="5243"/>
    <cellStyle name="20% - Accent4 4 8 3" xfId="934"/>
    <cellStyle name="20% - Accent4 4 8 3 2" xfId="5245"/>
    <cellStyle name="20% - Accent4 4 8 4" xfId="5242"/>
    <cellStyle name="20% - Accent4 4 9" xfId="935"/>
    <cellStyle name="20% - Accent4 4 9 2" xfId="936"/>
    <cellStyle name="20% - Accent4 4 9 2 2" xfId="5247"/>
    <cellStyle name="20% - Accent4 4 9 3" xfId="5246"/>
    <cellStyle name="20% - Accent4 5" xfId="937"/>
    <cellStyle name="20% - Accent4 5 10" xfId="938"/>
    <cellStyle name="20% - Accent4 5 10 2" xfId="939"/>
    <cellStyle name="20% - Accent4 5 10 2 2" xfId="5250"/>
    <cellStyle name="20% - Accent4 5 10 3" xfId="5249"/>
    <cellStyle name="20% - Accent4 5 11" xfId="940"/>
    <cellStyle name="20% - Accent4 5 11 2" xfId="941"/>
    <cellStyle name="20% - Accent4 5 11 2 2" xfId="5252"/>
    <cellStyle name="20% - Accent4 5 11 3" xfId="5251"/>
    <cellStyle name="20% - Accent4 5 12" xfId="942"/>
    <cellStyle name="20% - Accent4 5 12 2" xfId="943"/>
    <cellStyle name="20% - Accent4 5 12 2 2" xfId="5254"/>
    <cellStyle name="20% - Accent4 5 12 3" xfId="5253"/>
    <cellStyle name="20% - Accent4 5 13" xfId="944"/>
    <cellStyle name="20% - Accent4 5 13 2" xfId="945"/>
    <cellStyle name="20% - Accent4 5 13 2 2" xfId="5256"/>
    <cellStyle name="20% - Accent4 5 13 3" xfId="5255"/>
    <cellStyle name="20% - Accent4 5 14" xfId="946"/>
    <cellStyle name="20% - Accent4 5 14 2" xfId="947"/>
    <cellStyle name="20% - Accent4 5 14 2 2" xfId="5258"/>
    <cellStyle name="20% - Accent4 5 14 3" xfId="5257"/>
    <cellStyle name="20% - Accent4 5 15" xfId="948"/>
    <cellStyle name="20% - Accent4 5 15 2" xfId="949"/>
    <cellStyle name="20% - Accent4 5 15 2 2" xfId="5260"/>
    <cellStyle name="20% - Accent4 5 15 3" xfId="5259"/>
    <cellStyle name="20% - Accent4 5 16" xfId="950"/>
    <cellStyle name="20% - Accent4 5 16 2" xfId="951"/>
    <cellStyle name="20% - Accent4 5 16 2 2" xfId="5262"/>
    <cellStyle name="20% - Accent4 5 16 3" xfId="5261"/>
    <cellStyle name="20% - Accent4 5 17" xfId="952"/>
    <cellStyle name="20% - Accent4 5 17 2" xfId="953"/>
    <cellStyle name="20% - Accent4 5 17 2 2" xfId="5264"/>
    <cellStyle name="20% - Accent4 5 17 3" xfId="5263"/>
    <cellStyle name="20% - Accent4 5 18" xfId="954"/>
    <cellStyle name="20% - Accent4 5 18 2" xfId="955"/>
    <cellStyle name="20% - Accent4 5 18 2 2" xfId="5266"/>
    <cellStyle name="20% - Accent4 5 18 3" xfId="5265"/>
    <cellStyle name="20% - Accent4 5 19" xfId="956"/>
    <cellStyle name="20% - Accent4 5 19 2" xfId="5267"/>
    <cellStyle name="20% - Accent4 5 2" xfId="957"/>
    <cellStyle name="20% - Accent4 5 2 2" xfId="958"/>
    <cellStyle name="20% - Accent4 5 2 2 2" xfId="959"/>
    <cellStyle name="20% - Accent4 5 2 2 2 2" xfId="5270"/>
    <cellStyle name="20% - Accent4 5 2 2 3" xfId="5269"/>
    <cellStyle name="20% - Accent4 5 2 3" xfId="960"/>
    <cellStyle name="20% - Accent4 5 2 3 2" xfId="5271"/>
    <cellStyle name="20% - Accent4 5 2 4" xfId="5268"/>
    <cellStyle name="20% - Accent4 5 20" xfId="961"/>
    <cellStyle name="20% - Accent4 5 20 2" xfId="5272"/>
    <cellStyle name="20% - Accent4 5 21" xfId="5248"/>
    <cellStyle name="20% - Accent4 5 3" xfId="962"/>
    <cellStyle name="20% - Accent4 5 3 2" xfId="963"/>
    <cellStyle name="20% - Accent4 5 3 2 2" xfId="964"/>
    <cellStyle name="20% - Accent4 5 3 2 2 2" xfId="5275"/>
    <cellStyle name="20% - Accent4 5 3 2 3" xfId="5274"/>
    <cellStyle name="20% - Accent4 5 3 3" xfId="965"/>
    <cellStyle name="20% - Accent4 5 3 3 2" xfId="5276"/>
    <cellStyle name="20% - Accent4 5 3 4" xfId="5273"/>
    <cellStyle name="20% - Accent4 5 4" xfId="966"/>
    <cellStyle name="20% - Accent4 5 4 2" xfId="967"/>
    <cellStyle name="20% - Accent4 5 4 2 2" xfId="968"/>
    <cellStyle name="20% - Accent4 5 4 2 2 2" xfId="5279"/>
    <cellStyle name="20% - Accent4 5 4 2 3" xfId="5278"/>
    <cellStyle name="20% - Accent4 5 4 3" xfId="969"/>
    <cellStyle name="20% - Accent4 5 4 3 2" xfId="5280"/>
    <cellStyle name="20% - Accent4 5 4 4" xfId="5277"/>
    <cellStyle name="20% - Accent4 5 5" xfId="970"/>
    <cellStyle name="20% - Accent4 5 5 2" xfId="971"/>
    <cellStyle name="20% - Accent4 5 5 2 2" xfId="972"/>
    <cellStyle name="20% - Accent4 5 5 2 2 2" xfId="5283"/>
    <cellStyle name="20% - Accent4 5 5 2 3" xfId="5282"/>
    <cellStyle name="20% - Accent4 5 5 3" xfId="973"/>
    <cellStyle name="20% - Accent4 5 5 3 2" xfId="5284"/>
    <cellStyle name="20% - Accent4 5 5 4" xfId="5281"/>
    <cellStyle name="20% - Accent4 5 6" xfId="974"/>
    <cellStyle name="20% - Accent4 5 6 2" xfId="975"/>
    <cellStyle name="20% - Accent4 5 6 2 2" xfId="976"/>
    <cellStyle name="20% - Accent4 5 6 2 2 2" xfId="5287"/>
    <cellStyle name="20% - Accent4 5 6 2 3" xfId="5286"/>
    <cellStyle name="20% - Accent4 5 6 3" xfId="977"/>
    <cellStyle name="20% - Accent4 5 6 3 2" xfId="5288"/>
    <cellStyle name="20% - Accent4 5 6 4" xfId="5285"/>
    <cellStyle name="20% - Accent4 5 7" xfId="978"/>
    <cellStyle name="20% - Accent4 5 7 2" xfId="979"/>
    <cellStyle name="20% - Accent4 5 7 2 2" xfId="980"/>
    <cellStyle name="20% - Accent4 5 7 2 2 2" xfId="5291"/>
    <cellStyle name="20% - Accent4 5 7 2 3" xfId="5290"/>
    <cellStyle name="20% - Accent4 5 7 3" xfId="981"/>
    <cellStyle name="20% - Accent4 5 7 3 2" xfId="5292"/>
    <cellStyle name="20% - Accent4 5 7 4" xfId="5289"/>
    <cellStyle name="20% - Accent4 5 8" xfId="982"/>
    <cellStyle name="20% - Accent4 5 8 2" xfId="983"/>
    <cellStyle name="20% - Accent4 5 8 2 2" xfId="984"/>
    <cellStyle name="20% - Accent4 5 8 2 2 2" xfId="5295"/>
    <cellStyle name="20% - Accent4 5 8 2 3" xfId="5294"/>
    <cellStyle name="20% - Accent4 5 8 3" xfId="985"/>
    <cellStyle name="20% - Accent4 5 8 3 2" xfId="5296"/>
    <cellStyle name="20% - Accent4 5 8 4" xfId="5293"/>
    <cellStyle name="20% - Accent4 5 9" xfId="986"/>
    <cellStyle name="20% - Accent4 5 9 2" xfId="987"/>
    <cellStyle name="20% - Accent4 5 9 2 2" xfId="5298"/>
    <cellStyle name="20% - Accent4 5 9 3" xfId="5297"/>
    <cellStyle name="20% - Accent4 6" xfId="988"/>
    <cellStyle name="20% - Accent4 6 10" xfId="989"/>
    <cellStyle name="20% - Accent4 6 10 2" xfId="990"/>
    <cellStyle name="20% - Accent4 6 10 2 2" xfId="5301"/>
    <cellStyle name="20% - Accent4 6 10 3" xfId="5300"/>
    <cellStyle name="20% - Accent4 6 11" xfId="991"/>
    <cellStyle name="20% - Accent4 6 11 2" xfId="992"/>
    <cellStyle name="20% - Accent4 6 11 2 2" xfId="5303"/>
    <cellStyle name="20% - Accent4 6 11 3" xfId="5302"/>
    <cellStyle name="20% - Accent4 6 12" xfId="993"/>
    <cellStyle name="20% - Accent4 6 12 2" xfId="994"/>
    <cellStyle name="20% - Accent4 6 12 2 2" xfId="5305"/>
    <cellStyle name="20% - Accent4 6 12 3" xfId="5304"/>
    <cellStyle name="20% - Accent4 6 13" xfId="995"/>
    <cellStyle name="20% - Accent4 6 13 2" xfId="996"/>
    <cellStyle name="20% - Accent4 6 13 2 2" xfId="5307"/>
    <cellStyle name="20% - Accent4 6 13 3" xfId="5306"/>
    <cellStyle name="20% - Accent4 6 14" xfId="997"/>
    <cellStyle name="20% - Accent4 6 14 2" xfId="998"/>
    <cellStyle name="20% - Accent4 6 14 2 2" xfId="5309"/>
    <cellStyle name="20% - Accent4 6 14 3" xfId="5308"/>
    <cellStyle name="20% - Accent4 6 15" xfId="999"/>
    <cellStyle name="20% - Accent4 6 15 2" xfId="1000"/>
    <cellStyle name="20% - Accent4 6 15 2 2" xfId="5311"/>
    <cellStyle name="20% - Accent4 6 15 3" xfId="5310"/>
    <cellStyle name="20% - Accent4 6 16" xfId="1001"/>
    <cellStyle name="20% - Accent4 6 16 2" xfId="1002"/>
    <cellStyle name="20% - Accent4 6 16 2 2" xfId="5313"/>
    <cellStyle name="20% - Accent4 6 16 3" xfId="5312"/>
    <cellStyle name="20% - Accent4 6 17" xfId="1003"/>
    <cellStyle name="20% - Accent4 6 17 2" xfId="1004"/>
    <cellStyle name="20% - Accent4 6 17 2 2" xfId="5315"/>
    <cellStyle name="20% - Accent4 6 17 3" xfId="5314"/>
    <cellStyle name="20% - Accent4 6 18" xfId="1005"/>
    <cellStyle name="20% - Accent4 6 18 2" xfId="1006"/>
    <cellStyle name="20% - Accent4 6 18 2 2" xfId="5317"/>
    <cellStyle name="20% - Accent4 6 18 3" xfId="5316"/>
    <cellStyle name="20% - Accent4 6 19" xfId="1007"/>
    <cellStyle name="20% - Accent4 6 19 2" xfId="5318"/>
    <cellStyle name="20% - Accent4 6 2" xfId="1008"/>
    <cellStyle name="20% - Accent4 6 2 2" xfId="1009"/>
    <cellStyle name="20% - Accent4 6 2 2 2" xfId="1010"/>
    <cellStyle name="20% - Accent4 6 2 2 2 2" xfId="5321"/>
    <cellStyle name="20% - Accent4 6 2 2 3" xfId="5320"/>
    <cellStyle name="20% - Accent4 6 2 3" xfId="1011"/>
    <cellStyle name="20% - Accent4 6 2 3 2" xfId="5322"/>
    <cellStyle name="20% - Accent4 6 2 4" xfId="5319"/>
    <cellStyle name="20% - Accent4 6 20" xfId="1012"/>
    <cellStyle name="20% - Accent4 6 20 2" xfId="5323"/>
    <cellStyle name="20% - Accent4 6 21" xfId="5299"/>
    <cellStyle name="20% - Accent4 6 3" xfId="1013"/>
    <cellStyle name="20% - Accent4 6 3 2" xfId="1014"/>
    <cellStyle name="20% - Accent4 6 3 2 2" xfId="1015"/>
    <cellStyle name="20% - Accent4 6 3 2 2 2" xfId="5326"/>
    <cellStyle name="20% - Accent4 6 3 2 3" xfId="5325"/>
    <cellStyle name="20% - Accent4 6 3 3" xfId="1016"/>
    <cellStyle name="20% - Accent4 6 3 3 2" xfId="5327"/>
    <cellStyle name="20% - Accent4 6 3 4" xfId="5324"/>
    <cellStyle name="20% - Accent4 6 4" xfId="1017"/>
    <cellStyle name="20% - Accent4 6 4 2" xfId="1018"/>
    <cellStyle name="20% - Accent4 6 4 2 2" xfId="1019"/>
    <cellStyle name="20% - Accent4 6 4 2 2 2" xfId="5330"/>
    <cellStyle name="20% - Accent4 6 4 2 3" xfId="5329"/>
    <cellStyle name="20% - Accent4 6 4 3" xfId="1020"/>
    <cellStyle name="20% - Accent4 6 4 3 2" xfId="5331"/>
    <cellStyle name="20% - Accent4 6 4 4" xfId="5328"/>
    <cellStyle name="20% - Accent4 6 5" xfId="1021"/>
    <cellStyle name="20% - Accent4 6 5 2" xfId="1022"/>
    <cellStyle name="20% - Accent4 6 5 2 2" xfId="1023"/>
    <cellStyle name="20% - Accent4 6 5 2 2 2" xfId="5334"/>
    <cellStyle name="20% - Accent4 6 5 2 3" xfId="5333"/>
    <cellStyle name="20% - Accent4 6 5 3" xfId="1024"/>
    <cellStyle name="20% - Accent4 6 5 3 2" xfId="5335"/>
    <cellStyle name="20% - Accent4 6 5 4" xfId="5332"/>
    <cellStyle name="20% - Accent4 6 6" xfId="1025"/>
    <cellStyle name="20% - Accent4 6 6 2" xfId="1026"/>
    <cellStyle name="20% - Accent4 6 6 2 2" xfId="1027"/>
    <cellStyle name="20% - Accent4 6 6 2 2 2" xfId="5338"/>
    <cellStyle name="20% - Accent4 6 6 2 3" xfId="5337"/>
    <cellStyle name="20% - Accent4 6 6 3" xfId="1028"/>
    <cellStyle name="20% - Accent4 6 6 3 2" xfId="5339"/>
    <cellStyle name="20% - Accent4 6 6 4" xfId="5336"/>
    <cellStyle name="20% - Accent4 6 7" xfId="1029"/>
    <cellStyle name="20% - Accent4 6 7 2" xfId="1030"/>
    <cellStyle name="20% - Accent4 6 7 2 2" xfId="1031"/>
    <cellStyle name="20% - Accent4 6 7 2 2 2" xfId="5342"/>
    <cellStyle name="20% - Accent4 6 7 2 3" xfId="5341"/>
    <cellStyle name="20% - Accent4 6 7 3" xfId="1032"/>
    <cellStyle name="20% - Accent4 6 7 3 2" xfId="5343"/>
    <cellStyle name="20% - Accent4 6 7 4" xfId="5340"/>
    <cellStyle name="20% - Accent4 6 8" xfId="1033"/>
    <cellStyle name="20% - Accent4 6 8 2" xfId="1034"/>
    <cellStyle name="20% - Accent4 6 8 2 2" xfId="1035"/>
    <cellStyle name="20% - Accent4 6 8 2 2 2" xfId="5346"/>
    <cellStyle name="20% - Accent4 6 8 2 3" xfId="5345"/>
    <cellStyle name="20% - Accent4 6 8 3" xfId="1036"/>
    <cellStyle name="20% - Accent4 6 8 3 2" xfId="5347"/>
    <cellStyle name="20% - Accent4 6 8 4" xfId="5344"/>
    <cellStyle name="20% - Accent4 6 9" xfId="1037"/>
    <cellStyle name="20% - Accent4 6 9 2" xfId="1038"/>
    <cellStyle name="20% - Accent4 6 9 2 2" xfId="5349"/>
    <cellStyle name="20% - Accent4 6 9 3" xfId="5348"/>
    <cellStyle name="20% - Accent4 7" xfId="1039"/>
    <cellStyle name="20% - Accent4 7 10" xfId="1040"/>
    <cellStyle name="20% - Accent4 7 10 2" xfId="1041"/>
    <cellStyle name="20% - Accent4 7 10 2 2" xfId="5352"/>
    <cellStyle name="20% - Accent4 7 10 3" xfId="5351"/>
    <cellStyle name="20% - Accent4 7 11" xfId="1042"/>
    <cellStyle name="20% - Accent4 7 11 2" xfId="1043"/>
    <cellStyle name="20% - Accent4 7 11 2 2" xfId="5354"/>
    <cellStyle name="20% - Accent4 7 11 3" xfId="5353"/>
    <cellStyle name="20% - Accent4 7 12" xfId="1044"/>
    <cellStyle name="20% - Accent4 7 12 2" xfId="1045"/>
    <cellStyle name="20% - Accent4 7 12 2 2" xfId="5356"/>
    <cellStyle name="20% - Accent4 7 12 3" xfId="5355"/>
    <cellStyle name="20% - Accent4 7 13" xfId="1046"/>
    <cellStyle name="20% - Accent4 7 13 2" xfId="1047"/>
    <cellStyle name="20% - Accent4 7 13 2 2" xfId="5358"/>
    <cellStyle name="20% - Accent4 7 13 3" xfId="5357"/>
    <cellStyle name="20% - Accent4 7 14" xfId="1048"/>
    <cellStyle name="20% - Accent4 7 14 2" xfId="1049"/>
    <cellStyle name="20% - Accent4 7 14 2 2" xfId="5360"/>
    <cellStyle name="20% - Accent4 7 14 3" xfId="5359"/>
    <cellStyle name="20% - Accent4 7 15" xfId="1050"/>
    <cellStyle name="20% - Accent4 7 15 2" xfId="1051"/>
    <cellStyle name="20% - Accent4 7 15 2 2" xfId="5362"/>
    <cellStyle name="20% - Accent4 7 15 3" xfId="5361"/>
    <cellStyle name="20% - Accent4 7 16" xfId="1052"/>
    <cellStyle name="20% - Accent4 7 16 2" xfId="1053"/>
    <cellStyle name="20% - Accent4 7 16 2 2" xfId="5364"/>
    <cellStyle name="20% - Accent4 7 16 3" xfId="5363"/>
    <cellStyle name="20% - Accent4 7 17" xfId="1054"/>
    <cellStyle name="20% - Accent4 7 17 2" xfId="1055"/>
    <cellStyle name="20% - Accent4 7 17 2 2" xfId="5366"/>
    <cellStyle name="20% - Accent4 7 17 3" xfId="5365"/>
    <cellStyle name="20% - Accent4 7 18" xfId="1056"/>
    <cellStyle name="20% - Accent4 7 18 2" xfId="1057"/>
    <cellStyle name="20% - Accent4 7 18 2 2" xfId="5368"/>
    <cellStyle name="20% - Accent4 7 18 3" xfId="5367"/>
    <cellStyle name="20% - Accent4 7 19" xfId="1058"/>
    <cellStyle name="20% - Accent4 7 19 2" xfId="5369"/>
    <cellStyle name="20% - Accent4 7 2" xfId="1059"/>
    <cellStyle name="20% - Accent4 7 2 2" xfId="1060"/>
    <cellStyle name="20% - Accent4 7 2 2 2" xfId="1061"/>
    <cellStyle name="20% - Accent4 7 2 2 2 2" xfId="5372"/>
    <cellStyle name="20% - Accent4 7 2 2 3" xfId="5371"/>
    <cellStyle name="20% - Accent4 7 2 3" xfId="1062"/>
    <cellStyle name="20% - Accent4 7 2 3 2" xfId="5373"/>
    <cellStyle name="20% - Accent4 7 2 4" xfId="5370"/>
    <cellStyle name="20% - Accent4 7 20" xfId="1063"/>
    <cellStyle name="20% - Accent4 7 20 2" xfId="5374"/>
    <cellStyle name="20% - Accent4 7 21" xfId="5350"/>
    <cellStyle name="20% - Accent4 7 3" xfId="1064"/>
    <cellStyle name="20% - Accent4 7 3 2" xfId="1065"/>
    <cellStyle name="20% - Accent4 7 3 2 2" xfId="1066"/>
    <cellStyle name="20% - Accent4 7 3 2 2 2" xfId="5377"/>
    <cellStyle name="20% - Accent4 7 3 2 3" xfId="5376"/>
    <cellStyle name="20% - Accent4 7 3 3" xfId="1067"/>
    <cellStyle name="20% - Accent4 7 3 3 2" xfId="5378"/>
    <cellStyle name="20% - Accent4 7 3 4" xfId="5375"/>
    <cellStyle name="20% - Accent4 7 4" xfId="1068"/>
    <cellStyle name="20% - Accent4 7 4 2" xfId="1069"/>
    <cellStyle name="20% - Accent4 7 4 2 2" xfId="1070"/>
    <cellStyle name="20% - Accent4 7 4 2 2 2" xfId="5381"/>
    <cellStyle name="20% - Accent4 7 4 2 3" xfId="5380"/>
    <cellStyle name="20% - Accent4 7 4 3" xfId="1071"/>
    <cellStyle name="20% - Accent4 7 4 3 2" xfId="5382"/>
    <cellStyle name="20% - Accent4 7 4 4" xfId="5379"/>
    <cellStyle name="20% - Accent4 7 5" xfId="1072"/>
    <cellStyle name="20% - Accent4 7 5 2" xfId="1073"/>
    <cellStyle name="20% - Accent4 7 5 2 2" xfId="1074"/>
    <cellStyle name="20% - Accent4 7 5 2 2 2" xfId="5385"/>
    <cellStyle name="20% - Accent4 7 5 2 3" xfId="5384"/>
    <cellStyle name="20% - Accent4 7 5 3" xfId="1075"/>
    <cellStyle name="20% - Accent4 7 5 3 2" xfId="5386"/>
    <cellStyle name="20% - Accent4 7 5 4" xfId="5383"/>
    <cellStyle name="20% - Accent4 7 6" xfId="1076"/>
    <cellStyle name="20% - Accent4 7 6 2" xfId="1077"/>
    <cellStyle name="20% - Accent4 7 6 2 2" xfId="1078"/>
    <cellStyle name="20% - Accent4 7 6 2 2 2" xfId="5389"/>
    <cellStyle name="20% - Accent4 7 6 2 3" xfId="5388"/>
    <cellStyle name="20% - Accent4 7 6 3" xfId="1079"/>
    <cellStyle name="20% - Accent4 7 6 3 2" xfId="5390"/>
    <cellStyle name="20% - Accent4 7 6 4" xfId="5387"/>
    <cellStyle name="20% - Accent4 7 7" xfId="1080"/>
    <cellStyle name="20% - Accent4 7 7 2" xfId="1081"/>
    <cellStyle name="20% - Accent4 7 7 2 2" xfId="1082"/>
    <cellStyle name="20% - Accent4 7 7 2 2 2" xfId="5393"/>
    <cellStyle name="20% - Accent4 7 7 2 3" xfId="5392"/>
    <cellStyle name="20% - Accent4 7 7 3" xfId="1083"/>
    <cellStyle name="20% - Accent4 7 7 3 2" xfId="5394"/>
    <cellStyle name="20% - Accent4 7 7 4" xfId="5391"/>
    <cellStyle name="20% - Accent4 7 8" xfId="1084"/>
    <cellStyle name="20% - Accent4 7 8 2" xfId="1085"/>
    <cellStyle name="20% - Accent4 7 8 2 2" xfId="1086"/>
    <cellStyle name="20% - Accent4 7 8 2 2 2" xfId="5397"/>
    <cellStyle name="20% - Accent4 7 8 2 3" xfId="5396"/>
    <cellStyle name="20% - Accent4 7 8 3" xfId="1087"/>
    <cellStyle name="20% - Accent4 7 8 3 2" xfId="5398"/>
    <cellStyle name="20% - Accent4 7 8 4" xfId="5395"/>
    <cellStyle name="20% - Accent4 7 9" xfId="1088"/>
    <cellStyle name="20% - Accent4 7 9 2" xfId="1089"/>
    <cellStyle name="20% - Accent4 7 9 2 2" xfId="5400"/>
    <cellStyle name="20% - Accent4 7 9 3" xfId="5399"/>
    <cellStyle name="20% - Accent4 8" xfId="1090"/>
    <cellStyle name="20% - Accent4 8 10" xfId="1091"/>
    <cellStyle name="20% - Accent4 8 10 2" xfId="1092"/>
    <cellStyle name="20% - Accent4 8 10 2 2" xfId="5403"/>
    <cellStyle name="20% - Accent4 8 10 3" xfId="5402"/>
    <cellStyle name="20% - Accent4 8 11" xfId="1093"/>
    <cellStyle name="20% - Accent4 8 11 2" xfId="1094"/>
    <cellStyle name="20% - Accent4 8 11 2 2" xfId="5405"/>
    <cellStyle name="20% - Accent4 8 11 3" xfId="5404"/>
    <cellStyle name="20% - Accent4 8 12" xfId="1095"/>
    <cellStyle name="20% - Accent4 8 12 2" xfId="1096"/>
    <cellStyle name="20% - Accent4 8 12 2 2" xfId="5407"/>
    <cellStyle name="20% - Accent4 8 12 3" xfId="5406"/>
    <cellStyle name="20% - Accent4 8 13" xfId="1097"/>
    <cellStyle name="20% - Accent4 8 13 2" xfId="1098"/>
    <cellStyle name="20% - Accent4 8 13 2 2" xfId="5409"/>
    <cellStyle name="20% - Accent4 8 13 3" xfId="5408"/>
    <cellStyle name="20% - Accent4 8 14" xfId="1099"/>
    <cellStyle name="20% - Accent4 8 14 2" xfId="1100"/>
    <cellStyle name="20% - Accent4 8 14 2 2" xfId="5411"/>
    <cellStyle name="20% - Accent4 8 14 3" xfId="5410"/>
    <cellStyle name="20% - Accent4 8 15" xfId="1101"/>
    <cellStyle name="20% - Accent4 8 15 2" xfId="1102"/>
    <cellStyle name="20% - Accent4 8 15 2 2" xfId="5413"/>
    <cellStyle name="20% - Accent4 8 15 3" xfId="5412"/>
    <cellStyle name="20% - Accent4 8 16" xfId="1103"/>
    <cellStyle name="20% - Accent4 8 16 2" xfId="1104"/>
    <cellStyle name="20% - Accent4 8 16 2 2" xfId="5415"/>
    <cellStyle name="20% - Accent4 8 16 3" xfId="5414"/>
    <cellStyle name="20% - Accent4 8 17" xfId="1105"/>
    <cellStyle name="20% - Accent4 8 17 2" xfId="1106"/>
    <cellStyle name="20% - Accent4 8 17 2 2" xfId="5417"/>
    <cellStyle name="20% - Accent4 8 17 3" xfId="5416"/>
    <cellStyle name="20% - Accent4 8 18" xfId="1107"/>
    <cellStyle name="20% - Accent4 8 18 2" xfId="1108"/>
    <cellStyle name="20% - Accent4 8 18 2 2" xfId="5419"/>
    <cellStyle name="20% - Accent4 8 18 3" xfId="5418"/>
    <cellStyle name="20% - Accent4 8 19" xfId="1109"/>
    <cellStyle name="20% - Accent4 8 19 2" xfId="5420"/>
    <cellStyle name="20% - Accent4 8 2" xfId="1110"/>
    <cellStyle name="20% - Accent4 8 2 2" xfId="1111"/>
    <cellStyle name="20% - Accent4 8 2 2 2" xfId="1112"/>
    <cellStyle name="20% - Accent4 8 2 2 2 2" xfId="5423"/>
    <cellStyle name="20% - Accent4 8 2 2 3" xfId="5422"/>
    <cellStyle name="20% - Accent4 8 2 3" xfId="1113"/>
    <cellStyle name="20% - Accent4 8 2 3 2" xfId="5424"/>
    <cellStyle name="20% - Accent4 8 2 4" xfId="5421"/>
    <cellStyle name="20% - Accent4 8 20" xfId="1114"/>
    <cellStyle name="20% - Accent4 8 20 2" xfId="5425"/>
    <cellStyle name="20% - Accent4 8 21" xfId="5401"/>
    <cellStyle name="20% - Accent4 8 3" xfId="1115"/>
    <cellStyle name="20% - Accent4 8 3 2" xfId="1116"/>
    <cellStyle name="20% - Accent4 8 3 2 2" xfId="1117"/>
    <cellStyle name="20% - Accent4 8 3 2 2 2" xfId="5428"/>
    <cellStyle name="20% - Accent4 8 3 2 3" xfId="5427"/>
    <cellStyle name="20% - Accent4 8 3 3" xfId="1118"/>
    <cellStyle name="20% - Accent4 8 3 3 2" xfId="5429"/>
    <cellStyle name="20% - Accent4 8 3 4" xfId="5426"/>
    <cellStyle name="20% - Accent4 8 4" xfId="1119"/>
    <cellStyle name="20% - Accent4 8 4 2" xfId="1120"/>
    <cellStyle name="20% - Accent4 8 4 2 2" xfId="1121"/>
    <cellStyle name="20% - Accent4 8 4 2 2 2" xfId="5432"/>
    <cellStyle name="20% - Accent4 8 4 2 3" xfId="5431"/>
    <cellStyle name="20% - Accent4 8 4 3" xfId="1122"/>
    <cellStyle name="20% - Accent4 8 4 3 2" xfId="5433"/>
    <cellStyle name="20% - Accent4 8 4 4" xfId="5430"/>
    <cellStyle name="20% - Accent4 8 5" xfId="1123"/>
    <cellStyle name="20% - Accent4 8 5 2" xfId="1124"/>
    <cellStyle name="20% - Accent4 8 5 2 2" xfId="1125"/>
    <cellStyle name="20% - Accent4 8 5 2 2 2" xfId="5436"/>
    <cellStyle name="20% - Accent4 8 5 2 3" xfId="5435"/>
    <cellStyle name="20% - Accent4 8 5 3" xfId="1126"/>
    <cellStyle name="20% - Accent4 8 5 3 2" xfId="5437"/>
    <cellStyle name="20% - Accent4 8 5 4" xfId="5434"/>
    <cellStyle name="20% - Accent4 8 6" xfId="1127"/>
    <cellStyle name="20% - Accent4 8 6 2" xfId="1128"/>
    <cellStyle name="20% - Accent4 8 6 2 2" xfId="1129"/>
    <cellStyle name="20% - Accent4 8 6 2 2 2" xfId="5440"/>
    <cellStyle name="20% - Accent4 8 6 2 3" xfId="5439"/>
    <cellStyle name="20% - Accent4 8 6 3" xfId="1130"/>
    <cellStyle name="20% - Accent4 8 6 3 2" xfId="5441"/>
    <cellStyle name="20% - Accent4 8 6 4" xfId="5438"/>
    <cellStyle name="20% - Accent4 8 7" xfId="1131"/>
    <cellStyle name="20% - Accent4 8 7 2" xfId="1132"/>
    <cellStyle name="20% - Accent4 8 7 2 2" xfId="1133"/>
    <cellStyle name="20% - Accent4 8 7 2 2 2" xfId="5444"/>
    <cellStyle name="20% - Accent4 8 7 2 3" xfId="5443"/>
    <cellStyle name="20% - Accent4 8 7 3" xfId="1134"/>
    <cellStyle name="20% - Accent4 8 7 3 2" xfId="5445"/>
    <cellStyle name="20% - Accent4 8 7 4" xfId="5442"/>
    <cellStyle name="20% - Accent4 8 8" xfId="1135"/>
    <cellStyle name="20% - Accent4 8 8 2" xfId="1136"/>
    <cellStyle name="20% - Accent4 8 8 2 2" xfId="1137"/>
    <cellStyle name="20% - Accent4 8 8 2 2 2" xfId="5448"/>
    <cellStyle name="20% - Accent4 8 8 2 3" xfId="5447"/>
    <cellStyle name="20% - Accent4 8 8 3" xfId="1138"/>
    <cellStyle name="20% - Accent4 8 8 3 2" xfId="5449"/>
    <cellStyle name="20% - Accent4 8 8 4" xfId="5446"/>
    <cellStyle name="20% - Accent4 8 9" xfId="1139"/>
    <cellStyle name="20% - Accent4 8 9 2" xfId="1140"/>
    <cellStyle name="20% - Accent4 8 9 2 2" xfId="5451"/>
    <cellStyle name="20% - Accent4 8 9 3" xfId="5450"/>
    <cellStyle name="20% - Accent5" xfId="17" builtinId="46" customBuiltin="1"/>
    <cellStyle name="20% - Accent5 2" xfId="18"/>
    <cellStyle name="20% - Accent5 2 2" xfId="19"/>
    <cellStyle name="20% - Accent5 3" xfId="20"/>
    <cellStyle name="20% - Accent5 4" xfId="1141"/>
    <cellStyle name="20% - Accent5 4 10" xfId="1142"/>
    <cellStyle name="20% - Accent5 4 10 2" xfId="1143"/>
    <cellStyle name="20% - Accent5 4 10 2 2" xfId="5454"/>
    <cellStyle name="20% - Accent5 4 10 3" xfId="5453"/>
    <cellStyle name="20% - Accent5 4 11" xfId="1144"/>
    <cellStyle name="20% - Accent5 4 11 2" xfId="1145"/>
    <cellStyle name="20% - Accent5 4 11 2 2" xfId="5456"/>
    <cellStyle name="20% - Accent5 4 11 3" xfId="5455"/>
    <cellStyle name="20% - Accent5 4 12" xfId="1146"/>
    <cellStyle name="20% - Accent5 4 12 2" xfId="1147"/>
    <cellStyle name="20% - Accent5 4 12 2 2" xfId="5458"/>
    <cellStyle name="20% - Accent5 4 12 3" xfId="5457"/>
    <cellStyle name="20% - Accent5 4 13" xfId="1148"/>
    <cellStyle name="20% - Accent5 4 13 2" xfId="1149"/>
    <cellStyle name="20% - Accent5 4 13 2 2" xfId="5460"/>
    <cellStyle name="20% - Accent5 4 13 3" xfId="5459"/>
    <cellStyle name="20% - Accent5 4 14" xfId="1150"/>
    <cellStyle name="20% - Accent5 4 14 2" xfId="1151"/>
    <cellStyle name="20% - Accent5 4 14 2 2" xfId="5462"/>
    <cellStyle name="20% - Accent5 4 14 3" xfId="5461"/>
    <cellStyle name="20% - Accent5 4 15" xfId="1152"/>
    <cellStyle name="20% - Accent5 4 15 2" xfId="1153"/>
    <cellStyle name="20% - Accent5 4 15 2 2" xfId="5464"/>
    <cellStyle name="20% - Accent5 4 15 3" xfId="5463"/>
    <cellStyle name="20% - Accent5 4 16" xfId="1154"/>
    <cellStyle name="20% - Accent5 4 16 2" xfId="1155"/>
    <cellStyle name="20% - Accent5 4 16 2 2" xfId="5466"/>
    <cellStyle name="20% - Accent5 4 16 3" xfId="5465"/>
    <cellStyle name="20% - Accent5 4 17" xfId="1156"/>
    <cellStyle name="20% - Accent5 4 17 2" xfId="1157"/>
    <cellStyle name="20% - Accent5 4 17 2 2" xfId="5468"/>
    <cellStyle name="20% - Accent5 4 17 3" xfId="5467"/>
    <cellStyle name="20% - Accent5 4 18" xfId="1158"/>
    <cellStyle name="20% - Accent5 4 18 2" xfId="1159"/>
    <cellStyle name="20% - Accent5 4 18 2 2" xfId="5470"/>
    <cellStyle name="20% - Accent5 4 18 3" xfId="5469"/>
    <cellStyle name="20% - Accent5 4 19" xfId="1160"/>
    <cellStyle name="20% - Accent5 4 19 2" xfId="5471"/>
    <cellStyle name="20% - Accent5 4 2" xfId="1161"/>
    <cellStyle name="20% - Accent5 4 2 2" xfId="1162"/>
    <cellStyle name="20% - Accent5 4 2 2 2" xfId="1163"/>
    <cellStyle name="20% - Accent5 4 2 2 2 2" xfId="5474"/>
    <cellStyle name="20% - Accent5 4 2 2 3" xfId="5473"/>
    <cellStyle name="20% - Accent5 4 2 3" xfId="1164"/>
    <cellStyle name="20% - Accent5 4 2 3 2" xfId="5475"/>
    <cellStyle name="20% - Accent5 4 2 4" xfId="5472"/>
    <cellStyle name="20% - Accent5 4 20" xfId="1165"/>
    <cellStyle name="20% - Accent5 4 20 2" xfId="5476"/>
    <cellStyle name="20% - Accent5 4 21" xfId="5452"/>
    <cellStyle name="20% - Accent5 4 3" xfId="1166"/>
    <cellStyle name="20% - Accent5 4 3 2" xfId="1167"/>
    <cellStyle name="20% - Accent5 4 3 2 2" xfId="1168"/>
    <cellStyle name="20% - Accent5 4 3 2 2 2" xfId="5479"/>
    <cellStyle name="20% - Accent5 4 3 2 3" xfId="5478"/>
    <cellStyle name="20% - Accent5 4 3 3" xfId="1169"/>
    <cellStyle name="20% - Accent5 4 3 3 2" xfId="5480"/>
    <cellStyle name="20% - Accent5 4 3 4" xfId="5477"/>
    <cellStyle name="20% - Accent5 4 4" xfId="1170"/>
    <cellStyle name="20% - Accent5 4 4 2" xfId="1171"/>
    <cellStyle name="20% - Accent5 4 4 2 2" xfId="1172"/>
    <cellStyle name="20% - Accent5 4 4 2 2 2" xfId="5483"/>
    <cellStyle name="20% - Accent5 4 4 2 3" xfId="5482"/>
    <cellStyle name="20% - Accent5 4 4 3" xfId="1173"/>
    <cellStyle name="20% - Accent5 4 4 3 2" xfId="5484"/>
    <cellStyle name="20% - Accent5 4 4 4" xfId="5481"/>
    <cellStyle name="20% - Accent5 4 5" xfId="1174"/>
    <cellStyle name="20% - Accent5 4 5 2" xfId="1175"/>
    <cellStyle name="20% - Accent5 4 5 2 2" xfId="1176"/>
    <cellStyle name="20% - Accent5 4 5 2 2 2" xfId="5487"/>
    <cellStyle name="20% - Accent5 4 5 2 3" xfId="5486"/>
    <cellStyle name="20% - Accent5 4 5 3" xfId="1177"/>
    <cellStyle name="20% - Accent5 4 5 3 2" xfId="5488"/>
    <cellStyle name="20% - Accent5 4 5 4" xfId="5485"/>
    <cellStyle name="20% - Accent5 4 6" xfId="1178"/>
    <cellStyle name="20% - Accent5 4 6 2" xfId="1179"/>
    <cellStyle name="20% - Accent5 4 6 2 2" xfId="1180"/>
    <cellStyle name="20% - Accent5 4 6 2 2 2" xfId="5491"/>
    <cellStyle name="20% - Accent5 4 6 2 3" xfId="5490"/>
    <cellStyle name="20% - Accent5 4 6 3" xfId="1181"/>
    <cellStyle name="20% - Accent5 4 6 3 2" xfId="5492"/>
    <cellStyle name="20% - Accent5 4 6 4" xfId="5489"/>
    <cellStyle name="20% - Accent5 4 7" xfId="1182"/>
    <cellStyle name="20% - Accent5 4 7 2" xfId="1183"/>
    <cellStyle name="20% - Accent5 4 7 2 2" xfId="1184"/>
    <cellStyle name="20% - Accent5 4 7 2 2 2" xfId="5495"/>
    <cellStyle name="20% - Accent5 4 7 2 3" xfId="5494"/>
    <cellStyle name="20% - Accent5 4 7 3" xfId="1185"/>
    <cellStyle name="20% - Accent5 4 7 3 2" xfId="5496"/>
    <cellStyle name="20% - Accent5 4 7 4" xfId="5493"/>
    <cellStyle name="20% - Accent5 4 8" xfId="1186"/>
    <cellStyle name="20% - Accent5 4 8 2" xfId="1187"/>
    <cellStyle name="20% - Accent5 4 8 2 2" xfId="1188"/>
    <cellStyle name="20% - Accent5 4 8 2 2 2" xfId="5499"/>
    <cellStyle name="20% - Accent5 4 8 2 3" xfId="5498"/>
    <cellStyle name="20% - Accent5 4 8 3" xfId="1189"/>
    <cellStyle name="20% - Accent5 4 8 3 2" xfId="5500"/>
    <cellStyle name="20% - Accent5 4 8 4" xfId="5497"/>
    <cellStyle name="20% - Accent5 4 9" xfId="1190"/>
    <cellStyle name="20% - Accent5 4 9 2" xfId="1191"/>
    <cellStyle name="20% - Accent5 4 9 2 2" xfId="5502"/>
    <cellStyle name="20% - Accent5 4 9 3" xfId="5501"/>
    <cellStyle name="20% - Accent5 5" xfId="1192"/>
    <cellStyle name="20% - Accent5 5 10" xfId="1193"/>
    <cellStyle name="20% - Accent5 5 10 2" xfId="1194"/>
    <cellStyle name="20% - Accent5 5 10 2 2" xfId="5505"/>
    <cellStyle name="20% - Accent5 5 10 3" xfId="5504"/>
    <cellStyle name="20% - Accent5 5 11" xfId="1195"/>
    <cellStyle name="20% - Accent5 5 11 2" xfId="1196"/>
    <cellStyle name="20% - Accent5 5 11 2 2" xfId="5507"/>
    <cellStyle name="20% - Accent5 5 11 3" xfId="5506"/>
    <cellStyle name="20% - Accent5 5 12" xfId="1197"/>
    <cellStyle name="20% - Accent5 5 12 2" xfId="1198"/>
    <cellStyle name="20% - Accent5 5 12 2 2" xfId="5509"/>
    <cellStyle name="20% - Accent5 5 12 3" xfId="5508"/>
    <cellStyle name="20% - Accent5 5 13" xfId="1199"/>
    <cellStyle name="20% - Accent5 5 13 2" xfId="1200"/>
    <cellStyle name="20% - Accent5 5 13 2 2" xfId="5511"/>
    <cellStyle name="20% - Accent5 5 13 3" xfId="5510"/>
    <cellStyle name="20% - Accent5 5 14" xfId="1201"/>
    <cellStyle name="20% - Accent5 5 14 2" xfId="1202"/>
    <cellStyle name="20% - Accent5 5 14 2 2" xfId="5513"/>
    <cellStyle name="20% - Accent5 5 14 3" xfId="5512"/>
    <cellStyle name="20% - Accent5 5 15" xfId="1203"/>
    <cellStyle name="20% - Accent5 5 15 2" xfId="1204"/>
    <cellStyle name="20% - Accent5 5 15 2 2" xfId="5515"/>
    <cellStyle name="20% - Accent5 5 15 3" xfId="5514"/>
    <cellStyle name="20% - Accent5 5 16" xfId="1205"/>
    <cellStyle name="20% - Accent5 5 16 2" xfId="1206"/>
    <cellStyle name="20% - Accent5 5 16 2 2" xfId="5517"/>
    <cellStyle name="20% - Accent5 5 16 3" xfId="5516"/>
    <cellStyle name="20% - Accent5 5 17" xfId="1207"/>
    <cellStyle name="20% - Accent5 5 17 2" xfId="1208"/>
    <cellStyle name="20% - Accent5 5 17 2 2" xfId="5519"/>
    <cellStyle name="20% - Accent5 5 17 3" xfId="5518"/>
    <cellStyle name="20% - Accent5 5 18" xfId="1209"/>
    <cellStyle name="20% - Accent5 5 18 2" xfId="1210"/>
    <cellStyle name="20% - Accent5 5 18 2 2" xfId="5521"/>
    <cellStyle name="20% - Accent5 5 18 3" xfId="5520"/>
    <cellStyle name="20% - Accent5 5 19" xfId="1211"/>
    <cellStyle name="20% - Accent5 5 19 2" xfId="5522"/>
    <cellStyle name="20% - Accent5 5 2" xfId="1212"/>
    <cellStyle name="20% - Accent5 5 2 2" xfId="1213"/>
    <cellStyle name="20% - Accent5 5 2 2 2" xfId="1214"/>
    <cellStyle name="20% - Accent5 5 2 2 2 2" xfId="5525"/>
    <cellStyle name="20% - Accent5 5 2 2 3" xfId="5524"/>
    <cellStyle name="20% - Accent5 5 2 3" xfId="1215"/>
    <cellStyle name="20% - Accent5 5 2 3 2" xfId="5526"/>
    <cellStyle name="20% - Accent5 5 2 4" xfId="5523"/>
    <cellStyle name="20% - Accent5 5 20" xfId="1216"/>
    <cellStyle name="20% - Accent5 5 20 2" xfId="5527"/>
    <cellStyle name="20% - Accent5 5 21" xfId="5503"/>
    <cellStyle name="20% - Accent5 5 3" xfId="1217"/>
    <cellStyle name="20% - Accent5 5 3 2" xfId="1218"/>
    <cellStyle name="20% - Accent5 5 3 2 2" xfId="1219"/>
    <cellStyle name="20% - Accent5 5 3 2 2 2" xfId="5530"/>
    <cellStyle name="20% - Accent5 5 3 2 3" xfId="5529"/>
    <cellStyle name="20% - Accent5 5 3 3" xfId="1220"/>
    <cellStyle name="20% - Accent5 5 3 3 2" xfId="5531"/>
    <cellStyle name="20% - Accent5 5 3 4" xfId="5528"/>
    <cellStyle name="20% - Accent5 5 4" xfId="1221"/>
    <cellStyle name="20% - Accent5 5 4 2" xfId="1222"/>
    <cellStyle name="20% - Accent5 5 4 2 2" xfId="1223"/>
    <cellStyle name="20% - Accent5 5 4 2 2 2" xfId="5534"/>
    <cellStyle name="20% - Accent5 5 4 2 3" xfId="5533"/>
    <cellStyle name="20% - Accent5 5 4 3" xfId="1224"/>
    <cellStyle name="20% - Accent5 5 4 3 2" xfId="5535"/>
    <cellStyle name="20% - Accent5 5 4 4" xfId="5532"/>
    <cellStyle name="20% - Accent5 5 5" xfId="1225"/>
    <cellStyle name="20% - Accent5 5 5 2" xfId="1226"/>
    <cellStyle name="20% - Accent5 5 5 2 2" xfId="1227"/>
    <cellStyle name="20% - Accent5 5 5 2 2 2" xfId="5538"/>
    <cellStyle name="20% - Accent5 5 5 2 3" xfId="5537"/>
    <cellStyle name="20% - Accent5 5 5 3" xfId="1228"/>
    <cellStyle name="20% - Accent5 5 5 3 2" xfId="5539"/>
    <cellStyle name="20% - Accent5 5 5 4" xfId="5536"/>
    <cellStyle name="20% - Accent5 5 6" xfId="1229"/>
    <cellStyle name="20% - Accent5 5 6 2" xfId="1230"/>
    <cellStyle name="20% - Accent5 5 6 2 2" xfId="1231"/>
    <cellStyle name="20% - Accent5 5 6 2 2 2" xfId="5542"/>
    <cellStyle name="20% - Accent5 5 6 2 3" xfId="5541"/>
    <cellStyle name="20% - Accent5 5 6 3" xfId="1232"/>
    <cellStyle name="20% - Accent5 5 6 3 2" xfId="5543"/>
    <cellStyle name="20% - Accent5 5 6 4" xfId="5540"/>
    <cellStyle name="20% - Accent5 5 7" xfId="1233"/>
    <cellStyle name="20% - Accent5 5 7 2" xfId="1234"/>
    <cellStyle name="20% - Accent5 5 7 2 2" xfId="1235"/>
    <cellStyle name="20% - Accent5 5 7 2 2 2" xfId="5546"/>
    <cellStyle name="20% - Accent5 5 7 2 3" xfId="5545"/>
    <cellStyle name="20% - Accent5 5 7 3" xfId="1236"/>
    <cellStyle name="20% - Accent5 5 7 3 2" xfId="5547"/>
    <cellStyle name="20% - Accent5 5 7 4" xfId="5544"/>
    <cellStyle name="20% - Accent5 5 8" xfId="1237"/>
    <cellStyle name="20% - Accent5 5 8 2" xfId="1238"/>
    <cellStyle name="20% - Accent5 5 8 2 2" xfId="1239"/>
    <cellStyle name="20% - Accent5 5 8 2 2 2" xfId="5550"/>
    <cellStyle name="20% - Accent5 5 8 2 3" xfId="5549"/>
    <cellStyle name="20% - Accent5 5 8 3" xfId="1240"/>
    <cellStyle name="20% - Accent5 5 8 3 2" xfId="5551"/>
    <cellStyle name="20% - Accent5 5 8 4" xfId="5548"/>
    <cellStyle name="20% - Accent5 5 9" xfId="1241"/>
    <cellStyle name="20% - Accent5 5 9 2" xfId="1242"/>
    <cellStyle name="20% - Accent5 5 9 2 2" xfId="5553"/>
    <cellStyle name="20% - Accent5 5 9 3" xfId="5552"/>
    <cellStyle name="20% - Accent5 6" xfId="1243"/>
    <cellStyle name="20% - Accent5 6 10" xfId="1244"/>
    <cellStyle name="20% - Accent5 6 10 2" xfId="1245"/>
    <cellStyle name="20% - Accent5 6 10 2 2" xfId="5556"/>
    <cellStyle name="20% - Accent5 6 10 3" xfId="5555"/>
    <cellStyle name="20% - Accent5 6 11" xfId="1246"/>
    <cellStyle name="20% - Accent5 6 11 2" xfId="1247"/>
    <cellStyle name="20% - Accent5 6 11 2 2" xfId="5558"/>
    <cellStyle name="20% - Accent5 6 11 3" xfId="5557"/>
    <cellStyle name="20% - Accent5 6 12" xfId="1248"/>
    <cellStyle name="20% - Accent5 6 12 2" xfId="1249"/>
    <cellStyle name="20% - Accent5 6 12 2 2" xfId="5560"/>
    <cellStyle name="20% - Accent5 6 12 3" xfId="5559"/>
    <cellStyle name="20% - Accent5 6 13" xfId="1250"/>
    <cellStyle name="20% - Accent5 6 13 2" xfId="1251"/>
    <cellStyle name="20% - Accent5 6 13 2 2" xfId="5562"/>
    <cellStyle name="20% - Accent5 6 13 3" xfId="5561"/>
    <cellStyle name="20% - Accent5 6 14" xfId="1252"/>
    <cellStyle name="20% - Accent5 6 14 2" xfId="1253"/>
    <cellStyle name="20% - Accent5 6 14 2 2" xfId="5564"/>
    <cellStyle name="20% - Accent5 6 14 3" xfId="5563"/>
    <cellStyle name="20% - Accent5 6 15" xfId="1254"/>
    <cellStyle name="20% - Accent5 6 15 2" xfId="1255"/>
    <cellStyle name="20% - Accent5 6 15 2 2" xfId="5566"/>
    <cellStyle name="20% - Accent5 6 15 3" xfId="5565"/>
    <cellStyle name="20% - Accent5 6 16" xfId="1256"/>
    <cellStyle name="20% - Accent5 6 16 2" xfId="1257"/>
    <cellStyle name="20% - Accent5 6 16 2 2" xfId="5568"/>
    <cellStyle name="20% - Accent5 6 16 3" xfId="5567"/>
    <cellStyle name="20% - Accent5 6 17" xfId="1258"/>
    <cellStyle name="20% - Accent5 6 17 2" xfId="1259"/>
    <cellStyle name="20% - Accent5 6 17 2 2" xfId="5570"/>
    <cellStyle name="20% - Accent5 6 17 3" xfId="5569"/>
    <cellStyle name="20% - Accent5 6 18" xfId="1260"/>
    <cellStyle name="20% - Accent5 6 18 2" xfId="1261"/>
    <cellStyle name="20% - Accent5 6 18 2 2" xfId="5572"/>
    <cellStyle name="20% - Accent5 6 18 3" xfId="5571"/>
    <cellStyle name="20% - Accent5 6 19" xfId="1262"/>
    <cellStyle name="20% - Accent5 6 19 2" xfId="5573"/>
    <cellStyle name="20% - Accent5 6 2" xfId="1263"/>
    <cellStyle name="20% - Accent5 6 2 2" xfId="1264"/>
    <cellStyle name="20% - Accent5 6 2 2 2" xfId="1265"/>
    <cellStyle name="20% - Accent5 6 2 2 2 2" xfId="5576"/>
    <cellStyle name="20% - Accent5 6 2 2 3" xfId="5575"/>
    <cellStyle name="20% - Accent5 6 2 3" xfId="1266"/>
    <cellStyle name="20% - Accent5 6 2 3 2" xfId="5577"/>
    <cellStyle name="20% - Accent5 6 2 4" xfId="5574"/>
    <cellStyle name="20% - Accent5 6 20" xfId="1267"/>
    <cellStyle name="20% - Accent5 6 20 2" xfId="5578"/>
    <cellStyle name="20% - Accent5 6 21" xfId="5554"/>
    <cellStyle name="20% - Accent5 6 3" xfId="1268"/>
    <cellStyle name="20% - Accent5 6 3 2" xfId="1269"/>
    <cellStyle name="20% - Accent5 6 3 2 2" xfId="1270"/>
    <cellStyle name="20% - Accent5 6 3 2 2 2" xfId="5581"/>
    <cellStyle name="20% - Accent5 6 3 2 3" xfId="5580"/>
    <cellStyle name="20% - Accent5 6 3 3" xfId="1271"/>
    <cellStyle name="20% - Accent5 6 3 3 2" xfId="5582"/>
    <cellStyle name="20% - Accent5 6 3 4" xfId="5579"/>
    <cellStyle name="20% - Accent5 6 4" xfId="1272"/>
    <cellStyle name="20% - Accent5 6 4 2" xfId="1273"/>
    <cellStyle name="20% - Accent5 6 4 2 2" xfId="1274"/>
    <cellStyle name="20% - Accent5 6 4 2 2 2" xfId="5585"/>
    <cellStyle name="20% - Accent5 6 4 2 3" xfId="5584"/>
    <cellStyle name="20% - Accent5 6 4 3" xfId="1275"/>
    <cellStyle name="20% - Accent5 6 4 3 2" xfId="5586"/>
    <cellStyle name="20% - Accent5 6 4 4" xfId="5583"/>
    <cellStyle name="20% - Accent5 6 5" xfId="1276"/>
    <cellStyle name="20% - Accent5 6 5 2" xfId="1277"/>
    <cellStyle name="20% - Accent5 6 5 2 2" xfId="1278"/>
    <cellStyle name="20% - Accent5 6 5 2 2 2" xfId="5589"/>
    <cellStyle name="20% - Accent5 6 5 2 3" xfId="5588"/>
    <cellStyle name="20% - Accent5 6 5 3" xfId="1279"/>
    <cellStyle name="20% - Accent5 6 5 3 2" xfId="5590"/>
    <cellStyle name="20% - Accent5 6 5 4" xfId="5587"/>
    <cellStyle name="20% - Accent5 6 6" xfId="1280"/>
    <cellStyle name="20% - Accent5 6 6 2" xfId="1281"/>
    <cellStyle name="20% - Accent5 6 6 2 2" xfId="1282"/>
    <cellStyle name="20% - Accent5 6 6 2 2 2" xfId="5593"/>
    <cellStyle name="20% - Accent5 6 6 2 3" xfId="5592"/>
    <cellStyle name="20% - Accent5 6 6 3" xfId="1283"/>
    <cellStyle name="20% - Accent5 6 6 3 2" xfId="5594"/>
    <cellStyle name="20% - Accent5 6 6 4" xfId="5591"/>
    <cellStyle name="20% - Accent5 6 7" xfId="1284"/>
    <cellStyle name="20% - Accent5 6 7 2" xfId="1285"/>
    <cellStyle name="20% - Accent5 6 7 2 2" xfId="1286"/>
    <cellStyle name="20% - Accent5 6 7 2 2 2" xfId="5597"/>
    <cellStyle name="20% - Accent5 6 7 2 3" xfId="5596"/>
    <cellStyle name="20% - Accent5 6 7 3" xfId="1287"/>
    <cellStyle name="20% - Accent5 6 7 3 2" xfId="5598"/>
    <cellStyle name="20% - Accent5 6 7 4" xfId="5595"/>
    <cellStyle name="20% - Accent5 6 8" xfId="1288"/>
    <cellStyle name="20% - Accent5 6 8 2" xfId="1289"/>
    <cellStyle name="20% - Accent5 6 8 2 2" xfId="1290"/>
    <cellStyle name="20% - Accent5 6 8 2 2 2" xfId="5601"/>
    <cellStyle name="20% - Accent5 6 8 2 3" xfId="5600"/>
    <cellStyle name="20% - Accent5 6 8 3" xfId="1291"/>
    <cellStyle name="20% - Accent5 6 8 3 2" xfId="5602"/>
    <cellStyle name="20% - Accent5 6 8 4" xfId="5599"/>
    <cellStyle name="20% - Accent5 6 9" xfId="1292"/>
    <cellStyle name="20% - Accent5 6 9 2" xfId="1293"/>
    <cellStyle name="20% - Accent5 6 9 2 2" xfId="5604"/>
    <cellStyle name="20% - Accent5 6 9 3" xfId="5603"/>
    <cellStyle name="20% - Accent5 7" xfId="1294"/>
    <cellStyle name="20% - Accent5 7 10" xfId="1295"/>
    <cellStyle name="20% - Accent5 7 10 2" xfId="1296"/>
    <cellStyle name="20% - Accent5 7 10 2 2" xfId="5607"/>
    <cellStyle name="20% - Accent5 7 10 3" xfId="5606"/>
    <cellStyle name="20% - Accent5 7 11" xfId="1297"/>
    <cellStyle name="20% - Accent5 7 11 2" xfId="1298"/>
    <cellStyle name="20% - Accent5 7 11 2 2" xfId="5609"/>
    <cellStyle name="20% - Accent5 7 11 3" xfId="5608"/>
    <cellStyle name="20% - Accent5 7 12" xfId="1299"/>
    <cellStyle name="20% - Accent5 7 12 2" xfId="1300"/>
    <cellStyle name="20% - Accent5 7 12 2 2" xfId="5611"/>
    <cellStyle name="20% - Accent5 7 12 3" xfId="5610"/>
    <cellStyle name="20% - Accent5 7 13" xfId="1301"/>
    <cellStyle name="20% - Accent5 7 13 2" xfId="1302"/>
    <cellStyle name="20% - Accent5 7 13 2 2" xfId="5613"/>
    <cellStyle name="20% - Accent5 7 13 3" xfId="5612"/>
    <cellStyle name="20% - Accent5 7 14" xfId="1303"/>
    <cellStyle name="20% - Accent5 7 14 2" xfId="1304"/>
    <cellStyle name="20% - Accent5 7 14 2 2" xfId="5615"/>
    <cellStyle name="20% - Accent5 7 14 3" xfId="5614"/>
    <cellStyle name="20% - Accent5 7 15" xfId="1305"/>
    <cellStyle name="20% - Accent5 7 15 2" xfId="1306"/>
    <cellStyle name="20% - Accent5 7 15 2 2" xfId="5617"/>
    <cellStyle name="20% - Accent5 7 15 3" xfId="5616"/>
    <cellStyle name="20% - Accent5 7 16" xfId="1307"/>
    <cellStyle name="20% - Accent5 7 16 2" xfId="1308"/>
    <cellStyle name="20% - Accent5 7 16 2 2" xfId="5619"/>
    <cellStyle name="20% - Accent5 7 16 3" xfId="5618"/>
    <cellStyle name="20% - Accent5 7 17" xfId="1309"/>
    <cellStyle name="20% - Accent5 7 17 2" xfId="1310"/>
    <cellStyle name="20% - Accent5 7 17 2 2" xfId="5621"/>
    <cellStyle name="20% - Accent5 7 17 3" xfId="5620"/>
    <cellStyle name="20% - Accent5 7 18" xfId="1311"/>
    <cellStyle name="20% - Accent5 7 18 2" xfId="1312"/>
    <cellStyle name="20% - Accent5 7 18 2 2" xfId="5623"/>
    <cellStyle name="20% - Accent5 7 18 3" xfId="5622"/>
    <cellStyle name="20% - Accent5 7 19" xfId="1313"/>
    <cellStyle name="20% - Accent5 7 19 2" xfId="5624"/>
    <cellStyle name="20% - Accent5 7 2" xfId="1314"/>
    <cellStyle name="20% - Accent5 7 2 2" xfId="1315"/>
    <cellStyle name="20% - Accent5 7 2 2 2" xfId="1316"/>
    <cellStyle name="20% - Accent5 7 2 2 2 2" xfId="5627"/>
    <cellStyle name="20% - Accent5 7 2 2 3" xfId="5626"/>
    <cellStyle name="20% - Accent5 7 2 3" xfId="1317"/>
    <cellStyle name="20% - Accent5 7 2 3 2" xfId="5628"/>
    <cellStyle name="20% - Accent5 7 2 4" xfId="5625"/>
    <cellStyle name="20% - Accent5 7 20" xfId="1318"/>
    <cellStyle name="20% - Accent5 7 20 2" xfId="5629"/>
    <cellStyle name="20% - Accent5 7 21" xfId="5605"/>
    <cellStyle name="20% - Accent5 7 3" xfId="1319"/>
    <cellStyle name="20% - Accent5 7 3 2" xfId="1320"/>
    <cellStyle name="20% - Accent5 7 3 2 2" xfId="1321"/>
    <cellStyle name="20% - Accent5 7 3 2 2 2" xfId="5632"/>
    <cellStyle name="20% - Accent5 7 3 2 3" xfId="5631"/>
    <cellStyle name="20% - Accent5 7 3 3" xfId="1322"/>
    <cellStyle name="20% - Accent5 7 3 3 2" xfId="5633"/>
    <cellStyle name="20% - Accent5 7 3 4" xfId="5630"/>
    <cellStyle name="20% - Accent5 7 4" xfId="1323"/>
    <cellStyle name="20% - Accent5 7 4 2" xfId="1324"/>
    <cellStyle name="20% - Accent5 7 4 2 2" xfId="1325"/>
    <cellStyle name="20% - Accent5 7 4 2 2 2" xfId="5636"/>
    <cellStyle name="20% - Accent5 7 4 2 3" xfId="5635"/>
    <cellStyle name="20% - Accent5 7 4 3" xfId="1326"/>
    <cellStyle name="20% - Accent5 7 4 3 2" xfId="5637"/>
    <cellStyle name="20% - Accent5 7 4 4" xfId="5634"/>
    <cellStyle name="20% - Accent5 7 5" xfId="1327"/>
    <cellStyle name="20% - Accent5 7 5 2" xfId="1328"/>
    <cellStyle name="20% - Accent5 7 5 2 2" xfId="1329"/>
    <cellStyle name="20% - Accent5 7 5 2 2 2" xfId="5640"/>
    <cellStyle name="20% - Accent5 7 5 2 3" xfId="5639"/>
    <cellStyle name="20% - Accent5 7 5 3" xfId="1330"/>
    <cellStyle name="20% - Accent5 7 5 3 2" xfId="5641"/>
    <cellStyle name="20% - Accent5 7 5 4" xfId="5638"/>
    <cellStyle name="20% - Accent5 7 6" xfId="1331"/>
    <cellStyle name="20% - Accent5 7 6 2" xfId="1332"/>
    <cellStyle name="20% - Accent5 7 6 2 2" xfId="1333"/>
    <cellStyle name="20% - Accent5 7 6 2 2 2" xfId="5644"/>
    <cellStyle name="20% - Accent5 7 6 2 3" xfId="5643"/>
    <cellStyle name="20% - Accent5 7 6 3" xfId="1334"/>
    <cellStyle name="20% - Accent5 7 6 3 2" xfId="5645"/>
    <cellStyle name="20% - Accent5 7 6 4" xfId="5642"/>
    <cellStyle name="20% - Accent5 7 7" xfId="1335"/>
    <cellStyle name="20% - Accent5 7 7 2" xfId="1336"/>
    <cellStyle name="20% - Accent5 7 7 2 2" xfId="1337"/>
    <cellStyle name="20% - Accent5 7 7 2 2 2" xfId="5648"/>
    <cellStyle name="20% - Accent5 7 7 2 3" xfId="5647"/>
    <cellStyle name="20% - Accent5 7 7 3" xfId="1338"/>
    <cellStyle name="20% - Accent5 7 7 3 2" xfId="5649"/>
    <cellStyle name="20% - Accent5 7 7 4" xfId="5646"/>
    <cellStyle name="20% - Accent5 7 8" xfId="1339"/>
    <cellStyle name="20% - Accent5 7 8 2" xfId="1340"/>
    <cellStyle name="20% - Accent5 7 8 2 2" xfId="1341"/>
    <cellStyle name="20% - Accent5 7 8 2 2 2" xfId="5652"/>
    <cellStyle name="20% - Accent5 7 8 2 3" xfId="5651"/>
    <cellStyle name="20% - Accent5 7 8 3" xfId="1342"/>
    <cellStyle name="20% - Accent5 7 8 3 2" xfId="5653"/>
    <cellStyle name="20% - Accent5 7 8 4" xfId="5650"/>
    <cellStyle name="20% - Accent5 7 9" xfId="1343"/>
    <cellStyle name="20% - Accent5 7 9 2" xfId="1344"/>
    <cellStyle name="20% - Accent5 7 9 2 2" xfId="5655"/>
    <cellStyle name="20% - Accent5 7 9 3" xfId="5654"/>
    <cellStyle name="20% - Accent5 8" xfId="1345"/>
    <cellStyle name="20% - Accent5 8 10" xfId="1346"/>
    <cellStyle name="20% - Accent5 8 10 2" xfId="1347"/>
    <cellStyle name="20% - Accent5 8 10 2 2" xfId="5658"/>
    <cellStyle name="20% - Accent5 8 10 3" xfId="5657"/>
    <cellStyle name="20% - Accent5 8 11" xfId="1348"/>
    <cellStyle name="20% - Accent5 8 11 2" xfId="1349"/>
    <cellStyle name="20% - Accent5 8 11 2 2" xfId="5660"/>
    <cellStyle name="20% - Accent5 8 11 3" xfId="5659"/>
    <cellStyle name="20% - Accent5 8 12" xfId="1350"/>
    <cellStyle name="20% - Accent5 8 12 2" xfId="1351"/>
    <cellStyle name="20% - Accent5 8 12 2 2" xfId="5662"/>
    <cellStyle name="20% - Accent5 8 12 3" xfId="5661"/>
    <cellStyle name="20% - Accent5 8 13" xfId="1352"/>
    <cellStyle name="20% - Accent5 8 13 2" xfId="1353"/>
    <cellStyle name="20% - Accent5 8 13 2 2" xfId="5664"/>
    <cellStyle name="20% - Accent5 8 13 3" xfId="5663"/>
    <cellStyle name="20% - Accent5 8 14" xfId="1354"/>
    <cellStyle name="20% - Accent5 8 14 2" xfId="1355"/>
    <cellStyle name="20% - Accent5 8 14 2 2" xfId="5666"/>
    <cellStyle name="20% - Accent5 8 14 3" xfId="5665"/>
    <cellStyle name="20% - Accent5 8 15" xfId="1356"/>
    <cellStyle name="20% - Accent5 8 15 2" xfId="1357"/>
    <cellStyle name="20% - Accent5 8 15 2 2" xfId="5668"/>
    <cellStyle name="20% - Accent5 8 15 3" xfId="5667"/>
    <cellStyle name="20% - Accent5 8 16" xfId="1358"/>
    <cellStyle name="20% - Accent5 8 16 2" xfId="1359"/>
    <cellStyle name="20% - Accent5 8 16 2 2" xfId="5670"/>
    <cellStyle name="20% - Accent5 8 16 3" xfId="5669"/>
    <cellStyle name="20% - Accent5 8 17" xfId="1360"/>
    <cellStyle name="20% - Accent5 8 17 2" xfId="1361"/>
    <cellStyle name="20% - Accent5 8 17 2 2" xfId="5672"/>
    <cellStyle name="20% - Accent5 8 17 3" xfId="5671"/>
    <cellStyle name="20% - Accent5 8 18" xfId="1362"/>
    <cellStyle name="20% - Accent5 8 18 2" xfId="1363"/>
    <cellStyle name="20% - Accent5 8 18 2 2" xfId="5674"/>
    <cellStyle name="20% - Accent5 8 18 3" xfId="5673"/>
    <cellStyle name="20% - Accent5 8 19" xfId="1364"/>
    <cellStyle name="20% - Accent5 8 19 2" xfId="5675"/>
    <cellStyle name="20% - Accent5 8 2" xfId="1365"/>
    <cellStyle name="20% - Accent5 8 2 2" xfId="1366"/>
    <cellStyle name="20% - Accent5 8 2 2 2" xfId="1367"/>
    <cellStyle name="20% - Accent5 8 2 2 2 2" xfId="5678"/>
    <cellStyle name="20% - Accent5 8 2 2 3" xfId="5677"/>
    <cellStyle name="20% - Accent5 8 2 3" xfId="1368"/>
    <cellStyle name="20% - Accent5 8 2 3 2" xfId="5679"/>
    <cellStyle name="20% - Accent5 8 2 4" xfId="5676"/>
    <cellStyle name="20% - Accent5 8 20" xfId="1369"/>
    <cellStyle name="20% - Accent5 8 20 2" xfId="5680"/>
    <cellStyle name="20% - Accent5 8 21" xfId="5656"/>
    <cellStyle name="20% - Accent5 8 3" xfId="1370"/>
    <cellStyle name="20% - Accent5 8 3 2" xfId="1371"/>
    <cellStyle name="20% - Accent5 8 3 2 2" xfId="1372"/>
    <cellStyle name="20% - Accent5 8 3 2 2 2" xfId="5683"/>
    <cellStyle name="20% - Accent5 8 3 2 3" xfId="5682"/>
    <cellStyle name="20% - Accent5 8 3 3" xfId="1373"/>
    <cellStyle name="20% - Accent5 8 3 3 2" xfId="5684"/>
    <cellStyle name="20% - Accent5 8 3 4" xfId="5681"/>
    <cellStyle name="20% - Accent5 8 4" xfId="1374"/>
    <cellStyle name="20% - Accent5 8 4 2" xfId="1375"/>
    <cellStyle name="20% - Accent5 8 4 2 2" xfId="1376"/>
    <cellStyle name="20% - Accent5 8 4 2 2 2" xfId="5687"/>
    <cellStyle name="20% - Accent5 8 4 2 3" xfId="5686"/>
    <cellStyle name="20% - Accent5 8 4 3" xfId="1377"/>
    <cellStyle name="20% - Accent5 8 4 3 2" xfId="5688"/>
    <cellStyle name="20% - Accent5 8 4 4" xfId="5685"/>
    <cellStyle name="20% - Accent5 8 5" xfId="1378"/>
    <cellStyle name="20% - Accent5 8 5 2" xfId="1379"/>
    <cellStyle name="20% - Accent5 8 5 2 2" xfId="1380"/>
    <cellStyle name="20% - Accent5 8 5 2 2 2" xfId="5691"/>
    <cellStyle name="20% - Accent5 8 5 2 3" xfId="5690"/>
    <cellStyle name="20% - Accent5 8 5 3" xfId="1381"/>
    <cellStyle name="20% - Accent5 8 5 3 2" xfId="5692"/>
    <cellStyle name="20% - Accent5 8 5 4" xfId="5689"/>
    <cellStyle name="20% - Accent5 8 6" xfId="1382"/>
    <cellStyle name="20% - Accent5 8 6 2" xfId="1383"/>
    <cellStyle name="20% - Accent5 8 6 2 2" xfId="1384"/>
    <cellStyle name="20% - Accent5 8 6 2 2 2" xfId="5695"/>
    <cellStyle name="20% - Accent5 8 6 2 3" xfId="5694"/>
    <cellStyle name="20% - Accent5 8 6 3" xfId="1385"/>
    <cellStyle name="20% - Accent5 8 6 3 2" xfId="5696"/>
    <cellStyle name="20% - Accent5 8 6 4" xfId="5693"/>
    <cellStyle name="20% - Accent5 8 7" xfId="1386"/>
    <cellStyle name="20% - Accent5 8 7 2" xfId="1387"/>
    <cellStyle name="20% - Accent5 8 7 2 2" xfId="1388"/>
    <cellStyle name="20% - Accent5 8 7 2 2 2" xfId="5699"/>
    <cellStyle name="20% - Accent5 8 7 2 3" xfId="5698"/>
    <cellStyle name="20% - Accent5 8 7 3" xfId="1389"/>
    <cellStyle name="20% - Accent5 8 7 3 2" xfId="5700"/>
    <cellStyle name="20% - Accent5 8 7 4" xfId="5697"/>
    <cellStyle name="20% - Accent5 8 8" xfId="1390"/>
    <cellStyle name="20% - Accent5 8 8 2" xfId="1391"/>
    <cellStyle name="20% - Accent5 8 8 2 2" xfId="1392"/>
    <cellStyle name="20% - Accent5 8 8 2 2 2" xfId="5703"/>
    <cellStyle name="20% - Accent5 8 8 2 3" xfId="5702"/>
    <cellStyle name="20% - Accent5 8 8 3" xfId="1393"/>
    <cellStyle name="20% - Accent5 8 8 3 2" xfId="5704"/>
    <cellStyle name="20% - Accent5 8 8 4" xfId="5701"/>
    <cellStyle name="20% - Accent5 8 9" xfId="1394"/>
    <cellStyle name="20% - Accent5 8 9 2" xfId="1395"/>
    <cellStyle name="20% - Accent5 8 9 2 2" xfId="5706"/>
    <cellStyle name="20% - Accent5 8 9 3" xfId="5705"/>
    <cellStyle name="20% - Accent6" xfId="21" builtinId="50" customBuiltin="1"/>
    <cellStyle name="20% - Accent6 2" xfId="22"/>
    <cellStyle name="20% - Accent6 2 2" xfId="23"/>
    <cellStyle name="20% - Accent6 3" xfId="24"/>
    <cellStyle name="20% - Accent6 4" xfId="1396"/>
    <cellStyle name="20% - Accent6 4 10" xfId="1397"/>
    <cellStyle name="20% - Accent6 4 10 2" xfId="1398"/>
    <cellStyle name="20% - Accent6 4 10 2 2" xfId="5709"/>
    <cellStyle name="20% - Accent6 4 10 3" xfId="5708"/>
    <cellStyle name="20% - Accent6 4 11" xfId="1399"/>
    <cellStyle name="20% - Accent6 4 11 2" xfId="1400"/>
    <cellStyle name="20% - Accent6 4 11 2 2" xfId="5711"/>
    <cellStyle name="20% - Accent6 4 11 3" xfId="5710"/>
    <cellStyle name="20% - Accent6 4 12" xfId="1401"/>
    <cellStyle name="20% - Accent6 4 12 2" xfId="1402"/>
    <cellStyle name="20% - Accent6 4 12 2 2" xfId="5713"/>
    <cellStyle name="20% - Accent6 4 12 3" xfId="5712"/>
    <cellStyle name="20% - Accent6 4 13" xfId="1403"/>
    <cellStyle name="20% - Accent6 4 13 2" xfId="1404"/>
    <cellStyle name="20% - Accent6 4 13 2 2" xfId="5715"/>
    <cellStyle name="20% - Accent6 4 13 3" xfId="5714"/>
    <cellStyle name="20% - Accent6 4 14" xfId="1405"/>
    <cellStyle name="20% - Accent6 4 14 2" xfId="1406"/>
    <cellStyle name="20% - Accent6 4 14 2 2" xfId="5717"/>
    <cellStyle name="20% - Accent6 4 14 3" xfId="5716"/>
    <cellStyle name="20% - Accent6 4 15" xfId="1407"/>
    <cellStyle name="20% - Accent6 4 15 2" xfId="1408"/>
    <cellStyle name="20% - Accent6 4 15 2 2" xfId="5719"/>
    <cellStyle name="20% - Accent6 4 15 3" xfId="5718"/>
    <cellStyle name="20% - Accent6 4 16" xfId="1409"/>
    <cellStyle name="20% - Accent6 4 16 2" xfId="1410"/>
    <cellStyle name="20% - Accent6 4 16 2 2" xfId="5721"/>
    <cellStyle name="20% - Accent6 4 16 3" xfId="5720"/>
    <cellStyle name="20% - Accent6 4 17" xfId="1411"/>
    <cellStyle name="20% - Accent6 4 17 2" xfId="1412"/>
    <cellStyle name="20% - Accent6 4 17 2 2" xfId="5723"/>
    <cellStyle name="20% - Accent6 4 17 3" xfId="5722"/>
    <cellStyle name="20% - Accent6 4 18" xfId="1413"/>
    <cellStyle name="20% - Accent6 4 18 2" xfId="1414"/>
    <cellStyle name="20% - Accent6 4 18 2 2" xfId="5725"/>
    <cellStyle name="20% - Accent6 4 18 3" xfId="5724"/>
    <cellStyle name="20% - Accent6 4 19" xfId="1415"/>
    <cellStyle name="20% - Accent6 4 19 2" xfId="5726"/>
    <cellStyle name="20% - Accent6 4 2" xfId="1416"/>
    <cellStyle name="20% - Accent6 4 2 2" xfId="1417"/>
    <cellStyle name="20% - Accent6 4 2 2 2" xfId="1418"/>
    <cellStyle name="20% - Accent6 4 2 2 2 2" xfId="5729"/>
    <cellStyle name="20% - Accent6 4 2 2 3" xfId="5728"/>
    <cellStyle name="20% - Accent6 4 2 3" xfId="1419"/>
    <cellStyle name="20% - Accent6 4 2 3 2" xfId="5730"/>
    <cellStyle name="20% - Accent6 4 2 4" xfId="5727"/>
    <cellStyle name="20% - Accent6 4 20" xfId="1420"/>
    <cellStyle name="20% - Accent6 4 20 2" xfId="5731"/>
    <cellStyle name="20% - Accent6 4 21" xfId="5707"/>
    <cellStyle name="20% - Accent6 4 3" xfId="1421"/>
    <cellStyle name="20% - Accent6 4 3 2" xfId="1422"/>
    <cellStyle name="20% - Accent6 4 3 2 2" xfId="1423"/>
    <cellStyle name="20% - Accent6 4 3 2 2 2" xfId="5734"/>
    <cellStyle name="20% - Accent6 4 3 2 3" xfId="5733"/>
    <cellStyle name="20% - Accent6 4 3 3" xfId="1424"/>
    <cellStyle name="20% - Accent6 4 3 3 2" xfId="5735"/>
    <cellStyle name="20% - Accent6 4 3 4" xfId="5732"/>
    <cellStyle name="20% - Accent6 4 4" xfId="1425"/>
    <cellStyle name="20% - Accent6 4 4 2" xfId="1426"/>
    <cellStyle name="20% - Accent6 4 4 2 2" xfId="1427"/>
    <cellStyle name="20% - Accent6 4 4 2 2 2" xfId="5738"/>
    <cellStyle name="20% - Accent6 4 4 2 3" xfId="5737"/>
    <cellStyle name="20% - Accent6 4 4 3" xfId="1428"/>
    <cellStyle name="20% - Accent6 4 4 3 2" xfId="5739"/>
    <cellStyle name="20% - Accent6 4 4 4" xfId="5736"/>
    <cellStyle name="20% - Accent6 4 5" xfId="1429"/>
    <cellStyle name="20% - Accent6 4 5 2" xfId="1430"/>
    <cellStyle name="20% - Accent6 4 5 2 2" xfId="1431"/>
    <cellStyle name="20% - Accent6 4 5 2 2 2" xfId="5742"/>
    <cellStyle name="20% - Accent6 4 5 2 3" xfId="5741"/>
    <cellStyle name="20% - Accent6 4 5 3" xfId="1432"/>
    <cellStyle name="20% - Accent6 4 5 3 2" xfId="5743"/>
    <cellStyle name="20% - Accent6 4 5 4" xfId="5740"/>
    <cellStyle name="20% - Accent6 4 6" xfId="1433"/>
    <cellStyle name="20% - Accent6 4 6 2" xfId="1434"/>
    <cellStyle name="20% - Accent6 4 6 2 2" xfId="1435"/>
    <cellStyle name="20% - Accent6 4 6 2 2 2" xfId="5746"/>
    <cellStyle name="20% - Accent6 4 6 2 3" xfId="5745"/>
    <cellStyle name="20% - Accent6 4 6 3" xfId="1436"/>
    <cellStyle name="20% - Accent6 4 6 3 2" xfId="5747"/>
    <cellStyle name="20% - Accent6 4 6 4" xfId="5744"/>
    <cellStyle name="20% - Accent6 4 7" xfId="1437"/>
    <cellStyle name="20% - Accent6 4 7 2" xfId="1438"/>
    <cellStyle name="20% - Accent6 4 7 2 2" xfId="1439"/>
    <cellStyle name="20% - Accent6 4 7 2 2 2" xfId="5750"/>
    <cellStyle name="20% - Accent6 4 7 2 3" xfId="5749"/>
    <cellStyle name="20% - Accent6 4 7 3" xfId="1440"/>
    <cellStyle name="20% - Accent6 4 7 3 2" xfId="5751"/>
    <cellStyle name="20% - Accent6 4 7 4" xfId="5748"/>
    <cellStyle name="20% - Accent6 4 8" xfId="1441"/>
    <cellStyle name="20% - Accent6 4 8 2" xfId="1442"/>
    <cellStyle name="20% - Accent6 4 8 2 2" xfId="1443"/>
    <cellStyle name="20% - Accent6 4 8 2 2 2" xfId="5754"/>
    <cellStyle name="20% - Accent6 4 8 2 3" xfId="5753"/>
    <cellStyle name="20% - Accent6 4 8 3" xfId="1444"/>
    <cellStyle name="20% - Accent6 4 8 3 2" xfId="5755"/>
    <cellStyle name="20% - Accent6 4 8 4" xfId="5752"/>
    <cellStyle name="20% - Accent6 4 9" xfId="1445"/>
    <cellStyle name="20% - Accent6 4 9 2" xfId="1446"/>
    <cellStyle name="20% - Accent6 4 9 2 2" xfId="5757"/>
    <cellStyle name="20% - Accent6 4 9 3" xfId="5756"/>
    <cellStyle name="20% - Accent6 5" xfId="1447"/>
    <cellStyle name="20% - Accent6 5 10" xfId="1448"/>
    <cellStyle name="20% - Accent6 5 10 2" xfId="1449"/>
    <cellStyle name="20% - Accent6 5 10 2 2" xfId="5760"/>
    <cellStyle name="20% - Accent6 5 10 3" xfId="5759"/>
    <cellStyle name="20% - Accent6 5 11" xfId="1450"/>
    <cellStyle name="20% - Accent6 5 11 2" xfId="1451"/>
    <cellStyle name="20% - Accent6 5 11 2 2" xfId="5762"/>
    <cellStyle name="20% - Accent6 5 11 3" xfId="5761"/>
    <cellStyle name="20% - Accent6 5 12" xfId="1452"/>
    <cellStyle name="20% - Accent6 5 12 2" xfId="1453"/>
    <cellStyle name="20% - Accent6 5 12 2 2" xfId="5764"/>
    <cellStyle name="20% - Accent6 5 12 3" xfId="5763"/>
    <cellStyle name="20% - Accent6 5 13" xfId="1454"/>
    <cellStyle name="20% - Accent6 5 13 2" xfId="1455"/>
    <cellStyle name="20% - Accent6 5 13 2 2" xfId="5766"/>
    <cellStyle name="20% - Accent6 5 13 3" xfId="5765"/>
    <cellStyle name="20% - Accent6 5 14" xfId="1456"/>
    <cellStyle name="20% - Accent6 5 14 2" xfId="1457"/>
    <cellStyle name="20% - Accent6 5 14 2 2" xfId="5768"/>
    <cellStyle name="20% - Accent6 5 14 3" xfId="5767"/>
    <cellStyle name="20% - Accent6 5 15" xfId="1458"/>
    <cellStyle name="20% - Accent6 5 15 2" xfId="1459"/>
    <cellStyle name="20% - Accent6 5 15 2 2" xfId="5770"/>
    <cellStyle name="20% - Accent6 5 15 3" xfId="5769"/>
    <cellStyle name="20% - Accent6 5 16" xfId="1460"/>
    <cellStyle name="20% - Accent6 5 16 2" xfId="1461"/>
    <cellStyle name="20% - Accent6 5 16 2 2" xfId="5772"/>
    <cellStyle name="20% - Accent6 5 16 3" xfId="5771"/>
    <cellStyle name="20% - Accent6 5 17" xfId="1462"/>
    <cellStyle name="20% - Accent6 5 17 2" xfId="1463"/>
    <cellStyle name="20% - Accent6 5 17 2 2" xfId="5774"/>
    <cellStyle name="20% - Accent6 5 17 3" xfId="5773"/>
    <cellStyle name="20% - Accent6 5 18" xfId="1464"/>
    <cellStyle name="20% - Accent6 5 18 2" xfId="1465"/>
    <cellStyle name="20% - Accent6 5 18 2 2" xfId="5776"/>
    <cellStyle name="20% - Accent6 5 18 3" xfId="5775"/>
    <cellStyle name="20% - Accent6 5 19" xfId="1466"/>
    <cellStyle name="20% - Accent6 5 19 2" xfId="5777"/>
    <cellStyle name="20% - Accent6 5 2" xfId="1467"/>
    <cellStyle name="20% - Accent6 5 2 2" xfId="1468"/>
    <cellStyle name="20% - Accent6 5 2 2 2" xfId="1469"/>
    <cellStyle name="20% - Accent6 5 2 2 2 2" xfId="5780"/>
    <cellStyle name="20% - Accent6 5 2 2 3" xfId="5779"/>
    <cellStyle name="20% - Accent6 5 2 3" xfId="1470"/>
    <cellStyle name="20% - Accent6 5 2 3 2" xfId="5781"/>
    <cellStyle name="20% - Accent6 5 2 4" xfId="5778"/>
    <cellStyle name="20% - Accent6 5 20" xfId="1471"/>
    <cellStyle name="20% - Accent6 5 20 2" xfId="5782"/>
    <cellStyle name="20% - Accent6 5 21" xfId="5758"/>
    <cellStyle name="20% - Accent6 5 3" xfId="1472"/>
    <cellStyle name="20% - Accent6 5 3 2" xfId="1473"/>
    <cellStyle name="20% - Accent6 5 3 2 2" xfId="1474"/>
    <cellStyle name="20% - Accent6 5 3 2 2 2" xfId="5785"/>
    <cellStyle name="20% - Accent6 5 3 2 3" xfId="5784"/>
    <cellStyle name="20% - Accent6 5 3 3" xfId="1475"/>
    <cellStyle name="20% - Accent6 5 3 3 2" xfId="5786"/>
    <cellStyle name="20% - Accent6 5 3 4" xfId="5783"/>
    <cellStyle name="20% - Accent6 5 4" xfId="1476"/>
    <cellStyle name="20% - Accent6 5 4 2" xfId="1477"/>
    <cellStyle name="20% - Accent6 5 4 2 2" xfId="1478"/>
    <cellStyle name="20% - Accent6 5 4 2 2 2" xfId="5789"/>
    <cellStyle name="20% - Accent6 5 4 2 3" xfId="5788"/>
    <cellStyle name="20% - Accent6 5 4 3" xfId="1479"/>
    <cellStyle name="20% - Accent6 5 4 3 2" xfId="5790"/>
    <cellStyle name="20% - Accent6 5 4 4" xfId="5787"/>
    <cellStyle name="20% - Accent6 5 5" xfId="1480"/>
    <cellStyle name="20% - Accent6 5 5 2" xfId="1481"/>
    <cellStyle name="20% - Accent6 5 5 2 2" xfId="1482"/>
    <cellStyle name="20% - Accent6 5 5 2 2 2" xfId="5793"/>
    <cellStyle name="20% - Accent6 5 5 2 3" xfId="5792"/>
    <cellStyle name="20% - Accent6 5 5 3" xfId="1483"/>
    <cellStyle name="20% - Accent6 5 5 3 2" xfId="5794"/>
    <cellStyle name="20% - Accent6 5 5 4" xfId="5791"/>
    <cellStyle name="20% - Accent6 5 6" xfId="1484"/>
    <cellStyle name="20% - Accent6 5 6 2" xfId="1485"/>
    <cellStyle name="20% - Accent6 5 6 2 2" xfId="1486"/>
    <cellStyle name="20% - Accent6 5 6 2 2 2" xfId="5797"/>
    <cellStyle name="20% - Accent6 5 6 2 3" xfId="5796"/>
    <cellStyle name="20% - Accent6 5 6 3" xfId="1487"/>
    <cellStyle name="20% - Accent6 5 6 3 2" xfId="5798"/>
    <cellStyle name="20% - Accent6 5 6 4" xfId="5795"/>
    <cellStyle name="20% - Accent6 5 7" xfId="1488"/>
    <cellStyle name="20% - Accent6 5 7 2" xfId="1489"/>
    <cellStyle name="20% - Accent6 5 7 2 2" xfId="1490"/>
    <cellStyle name="20% - Accent6 5 7 2 2 2" xfId="5801"/>
    <cellStyle name="20% - Accent6 5 7 2 3" xfId="5800"/>
    <cellStyle name="20% - Accent6 5 7 3" xfId="1491"/>
    <cellStyle name="20% - Accent6 5 7 3 2" xfId="5802"/>
    <cellStyle name="20% - Accent6 5 7 4" xfId="5799"/>
    <cellStyle name="20% - Accent6 5 8" xfId="1492"/>
    <cellStyle name="20% - Accent6 5 8 2" xfId="1493"/>
    <cellStyle name="20% - Accent6 5 8 2 2" xfId="1494"/>
    <cellStyle name="20% - Accent6 5 8 2 2 2" xfId="5805"/>
    <cellStyle name="20% - Accent6 5 8 2 3" xfId="5804"/>
    <cellStyle name="20% - Accent6 5 8 3" xfId="1495"/>
    <cellStyle name="20% - Accent6 5 8 3 2" xfId="5806"/>
    <cellStyle name="20% - Accent6 5 8 4" xfId="5803"/>
    <cellStyle name="20% - Accent6 5 9" xfId="1496"/>
    <cellStyle name="20% - Accent6 5 9 2" xfId="1497"/>
    <cellStyle name="20% - Accent6 5 9 2 2" xfId="5808"/>
    <cellStyle name="20% - Accent6 5 9 3" xfId="5807"/>
    <cellStyle name="20% - Accent6 6" xfId="1498"/>
    <cellStyle name="20% - Accent6 6 10" xfId="1499"/>
    <cellStyle name="20% - Accent6 6 10 2" xfId="1500"/>
    <cellStyle name="20% - Accent6 6 10 2 2" xfId="5811"/>
    <cellStyle name="20% - Accent6 6 10 3" xfId="5810"/>
    <cellStyle name="20% - Accent6 6 11" xfId="1501"/>
    <cellStyle name="20% - Accent6 6 11 2" xfId="1502"/>
    <cellStyle name="20% - Accent6 6 11 2 2" xfId="5813"/>
    <cellStyle name="20% - Accent6 6 11 3" xfId="5812"/>
    <cellStyle name="20% - Accent6 6 12" xfId="1503"/>
    <cellStyle name="20% - Accent6 6 12 2" xfId="1504"/>
    <cellStyle name="20% - Accent6 6 12 2 2" xfId="5815"/>
    <cellStyle name="20% - Accent6 6 12 3" xfId="5814"/>
    <cellStyle name="20% - Accent6 6 13" xfId="1505"/>
    <cellStyle name="20% - Accent6 6 13 2" xfId="1506"/>
    <cellStyle name="20% - Accent6 6 13 2 2" xfId="5817"/>
    <cellStyle name="20% - Accent6 6 13 3" xfId="5816"/>
    <cellStyle name="20% - Accent6 6 14" xfId="1507"/>
    <cellStyle name="20% - Accent6 6 14 2" xfId="1508"/>
    <cellStyle name="20% - Accent6 6 14 2 2" xfId="5819"/>
    <cellStyle name="20% - Accent6 6 14 3" xfId="5818"/>
    <cellStyle name="20% - Accent6 6 15" xfId="1509"/>
    <cellStyle name="20% - Accent6 6 15 2" xfId="1510"/>
    <cellStyle name="20% - Accent6 6 15 2 2" xfId="5821"/>
    <cellStyle name="20% - Accent6 6 15 3" xfId="5820"/>
    <cellStyle name="20% - Accent6 6 16" xfId="1511"/>
    <cellStyle name="20% - Accent6 6 16 2" xfId="1512"/>
    <cellStyle name="20% - Accent6 6 16 2 2" xfId="5823"/>
    <cellStyle name="20% - Accent6 6 16 3" xfId="5822"/>
    <cellStyle name="20% - Accent6 6 17" xfId="1513"/>
    <cellStyle name="20% - Accent6 6 17 2" xfId="1514"/>
    <cellStyle name="20% - Accent6 6 17 2 2" xfId="5825"/>
    <cellStyle name="20% - Accent6 6 17 3" xfId="5824"/>
    <cellStyle name="20% - Accent6 6 18" xfId="1515"/>
    <cellStyle name="20% - Accent6 6 18 2" xfId="1516"/>
    <cellStyle name="20% - Accent6 6 18 2 2" xfId="5827"/>
    <cellStyle name="20% - Accent6 6 18 3" xfId="5826"/>
    <cellStyle name="20% - Accent6 6 19" xfId="1517"/>
    <cellStyle name="20% - Accent6 6 19 2" xfId="5828"/>
    <cellStyle name="20% - Accent6 6 2" xfId="1518"/>
    <cellStyle name="20% - Accent6 6 2 2" xfId="1519"/>
    <cellStyle name="20% - Accent6 6 2 2 2" xfId="1520"/>
    <cellStyle name="20% - Accent6 6 2 2 2 2" xfId="5831"/>
    <cellStyle name="20% - Accent6 6 2 2 3" xfId="5830"/>
    <cellStyle name="20% - Accent6 6 2 3" xfId="1521"/>
    <cellStyle name="20% - Accent6 6 2 3 2" xfId="5832"/>
    <cellStyle name="20% - Accent6 6 2 4" xfId="5829"/>
    <cellStyle name="20% - Accent6 6 20" xfId="1522"/>
    <cellStyle name="20% - Accent6 6 20 2" xfId="5833"/>
    <cellStyle name="20% - Accent6 6 21" xfId="5809"/>
    <cellStyle name="20% - Accent6 6 3" xfId="1523"/>
    <cellStyle name="20% - Accent6 6 3 2" xfId="1524"/>
    <cellStyle name="20% - Accent6 6 3 2 2" xfId="1525"/>
    <cellStyle name="20% - Accent6 6 3 2 2 2" xfId="5836"/>
    <cellStyle name="20% - Accent6 6 3 2 3" xfId="5835"/>
    <cellStyle name="20% - Accent6 6 3 3" xfId="1526"/>
    <cellStyle name="20% - Accent6 6 3 3 2" xfId="5837"/>
    <cellStyle name="20% - Accent6 6 3 4" xfId="5834"/>
    <cellStyle name="20% - Accent6 6 4" xfId="1527"/>
    <cellStyle name="20% - Accent6 6 4 2" xfId="1528"/>
    <cellStyle name="20% - Accent6 6 4 2 2" xfId="1529"/>
    <cellStyle name="20% - Accent6 6 4 2 2 2" xfId="5840"/>
    <cellStyle name="20% - Accent6 6 4 2 3" xfId="5839"/>
    <cellStyle name="20% - Accent6 6 4 3" xfId="1530"/>
    <cellStyle name="20% - Accent6 6 4 3 2" xfId="5841"/>
    <cellStyle name="20% - Accent6 6 4 4" xfId="5838"/>
    <cellStyle name="20% - Accent6 6 5" xfId="1531"/>
    <cellStyle name="20% - Accent6 6 5 2" xfId="1532"/>
    <cellStyle name="20% - Accent6 6 5 2 2" xfId="1533"/>
    <cellStyle name="20% - Accent6 6 5 2 2 2" xfId="5844"/>
    <cellStyle name="20% - Accent6 6 5 2 3" xfId="5843"/>
    <cellStyle name="20% - Accent6 6 5 3" xfId="1534"/>
    <cellStyle name="20% - Accent6 6 5 3 2" xfId="5845"/>
    <cellStyle name="20% - Accent6 6 5 4" xfId="5842"/>
    <cellStyle name="20% - Accent6 6 6" xfId="1535"/>
    <cellStyle name="20% - Accent6 6 6 2" xfId="1536"/>
    <cellStyle name="20% - Accent6 6 6 2 2" xfId="1537"/>
    <cellStyle name="20% - Accent6 6 6 2 2 2" xfId="5848"/>
    <cellStyle name="20% - Accent6 6 6 2 3" xfId="5847"/>
    <cellStyle name="20% - Accent6 6 6 3" xfId="1538"/>
    <cellStyle name="20% - Accent6 6 6 3 2" xfId="5849"/>
    <cellStyle name="20% - Accent6 6 6 4" xfId="5846"/>
    <cellStyle name="20% - Accent6 6 7" xfId="1539"/>
    <cellStyle name="20% - Accent6 6 7 2" xfId="1540"/>
    <cellStyle name="20% - Accent6 6 7 2 2" xfId="1541"/>
    <cellStyle name="20% - Accent6 6 7 2 2 2" xfId="5852"/>
    <cellStyle name="20% - Accent6 6 7 2 3" xfId="5851"/>
    <cellStyle name="20% - Accent6 6 7 3" xfId="1542"/>
    <cellStyle name="20% - Accent6 6 7 3 2" xfId="5853"/>
    <cellStyle name="20% - Accent6 6 7 4" xfId="5850"/>
    <cellStyle name="20% - Accent6 6 8" xfId="1543"/>
    <cellStyle name="20% - Accent6 6 8 2" xfId="1544"/>
    <cellStyle name="20% - Accent6 6 8 2 2" xfId="1545"/>
    <cellStyle name="20% - Accent6 6 8 2 2 2" xfId="5856"/>
    <cellStyle name="20% - Accent6 6 8 2 3" xfId="5855"/>
    <cellStyle name="20% - Accent6 6 8 3" xfId="1546"/>
    <cellStyle name="20% - Accent6 6 8 3 2" xfId="5857"/>
    <cellStyle name="20% - Accent6 6 8 4" xfId="5854"/>
    <cellStyle name="20% - Accent6 6 9" xfId="1547"/>
    <cellStyle name="20% - Accent6 6 9 2" xfId="1548"/>
    <cellStyle name="20% - Accent6 6 9 2 2" xfId="5859"/>
    <cellStyle name="20% - Accent6 6 9 3" xfId="5858"/>
    <cellStyle name="20% - Accent6 7" xfId="1549"/>
    <cellStyle name="20% - Accent6 7 10" xfId="1550"/>
    <cellStyle name="20% - Accent6 7 10 2" xfId="1551"/>
    <cellStyle name="20% - Accent6 7 10 2 2" xfId="5862"/>
    <cellStyle name="20% - Accent6 7 10 3" xfId="5861"/>
    <cellStyle name="20% - Accent6 7 11" xfId="1552"/>
    <cellStyle name="20% - Accent6 7 11 2" xfId="1553"/>
    <cellStyle name="20% - Accent6 7 11 2 2" xfId="5864"/>
    <cellStyle name="20% - Accent6 7 11 3" xfId="5863"/>
    <cellStyle name="20% - Accent6 7 12" xfId="1554"/>
    <cellStyle name="20% - Accent6 7 12 2" xfId="1555"/>
    <cellStyle name="20% - Accent6 7 12 2 2" xfId="5866"/>
    <cellStyle name="20% - Accent6 7 12 3" xfId="5865"/>
    <cellStyle name="20% - Accent6 7 13" xfId="1556"/>
    <cellStyle name="20% - Accent6 7 13 2" xfId="1557"/>
    <cellStyle name="20% - Accent6 7 13 2 2" xfId="5868"/>
    <cellStyle name="20% - Accent6 7 13 3" xfId="5867"/>
    <cellStyle name="20% - Accent6 7 14" xfId="1558"/>
    <cellStyle name="20% - Accent6 7 14 2" xfId="1559"/>
    <cellStyle name="20% - Accent6 7 14 2 2" xfId="5870"/>
    <cellStyle name="20% - Accent6 7 14 3" xfId="5869"/>
    <cellStyle name="20% - Accent6 7 15" xfId="1560"/>
    <cellStyle name="20% - Accent6 7 15 2" xfId="1561"/>
    <cellStyle name="20% - Accent6 7 15 2 2" xfId="5872"/>
    <cellStyle name="20% - Accent6 7 15 3" xfId="5871"/>
    <cellStyle name="20% - Accent6 7 16" xfId="1562"/>
    <cellStyle name="20% - Accent6 7 16 2" xfId="1563"/>
    <cellStyle name="20% - Accent6 7 16 2 2" xfId="5874"/>
    <cellStyle name="20% - Accent6 7 16 3" xfId="5873"/>
    <cellStyle name="20% - Accent6 7 17" xfId="1564"/>
    <cellStyle name="20% - Accent6 7 17 2" xfId="1565"/>
    <cellStyle name="20% - Accent6 7 17 2 2" xfId="5876"/>
    <cellStyle name="20% - Accent6 7 17 3" xfId="5875"/>
    <cellStyle name="20% - Accent6 7 18" xfId="1566"/>
    <cellStyle name="20% - Accent6 7 18 2" xfId="1567"/>
    <cellStyle name="20% - Accent6 7 18 2 2" xfId="5878"/>
    <cellStyle name="20% - Accent6 7 18 3" xfId="5877"/>
    <cellStyle name="20% - Accent6 7 19" xfId="1568"/>
    <cellStyle name="20% - Accent6 7 19 2" xfId="5879"/>
    <cellStyle name="20% - Accent6 7 2" xfId="1569"/>
    <cellStyle name="20% - Accent6 7 2 2" xfId="1570"/>
    <cellStyle name="20% - Accent6 7 2 2 2" xfId="1571"/>
    <cellStyle name="20% - Accent6 7 2 2 2 2" xfId="5882"/>
    <cellStyle name="20% - Accent6 7 2 2 3" xfId="5881"/>
    <cellStyle name="20% - Accent6 7 2 3" xfId="1572"/>
    <cellStyle name="20% - Accent6 7 2 3 2" xfId="5883"/>
    <cellStyle name="20% - Accent6 7 2 4" xfId="5880"/>
    <cellStyle name="20% - Accent6 7 20" xfId="1573"/>
    <cellStyle name="20% - Accent6 7 20 2" xfId="5884"/>
    <cellStyle name="20% - Accent6 7 21" xfId="5860"/>
    <cellStyle name="20% - Accent6 7 3" xfId="1574"/>
    <cellStyle name="20% - Accent6 7 3 2" xfId="1575"/>
    <cellStyle name="20% - Accent6 7 3 2 2" xfId="1576"/>
    <cellStyle name="20% - Accent6 7 3 2 2 2" xfId="5887"/>
    <cellStyle name="20% - Accent6 7 3 2 3" xfId="5886"/>
    <cellStyle name="20% - Accent6 7 3 3" xfId="1577"/>
    <cellStyle name="20% - Accent6 7 3 3 2" xfId="5888"/>
    <cellStyle name="20% - Accent6 7 3 4" xfId="5885"/>
    <cellStyle name="20% - Accent6 7 4" xfId="1578"/>
    <cellStyle name="20% - Accent6 7 4 2" xfId="1579"/>
    <cellStyle name="20% - Accent6 7 4 2 2" xfId="1580"/>
    <cellStyle name="20% - Accent6 7 4 2 2 2" xfId="5891"/>
    <cellStyle name="20% - Accent6 7 4 2 3" xfId="5890"/>
    <cellStyle name="20% - Accent6 7 4 3" xfId="1581"/>
    <cellStyle name="20% - Accent6 7 4 3 2" xfId="5892"/>
    <cellStyle name="20% - Accent6 7 4 4" xfId="5889"/>
    <cellStyle name="20% - Accent6 7 5" xfId="1582"/>
    <cellStyle name="20% - Accent6 7 5 2" xfId="1583"/>
    <cellStyle name="20% - Accent6 7 5 2 2" xfId="1584"/>
    <cellStyle name="20% - Accent6 7 5 2 2 2" xfId="5895"/>
    <cellStyle name="20% - Accent6 7 5 2 3" xfId="5894"/>
    <cellStyle name="20% - Accent6 7 5 3" xfId="1585"/>
    <cellStyle name="20% - Accent6 7 5 3 2" xfId="5896"/>
    <cellStyle name="20% - Accent6 7 5 4" xfId="5893"/>
    <cellStyle name="20% - Accent6 7 6" xfId="1586"/>
    <cellStyle name="20% - Accent6 7 6 2" xfId="1587"/>
    <cellStyle name="20% - Accent6 7 6 2 2" xfId="1588"/>
    <cellStyle name="20% - Accent6 7 6 2 2 2" xfId="5899"/>
    <cellStyle name="20% - Accent6 7 6 2 3" xfId="5898"/>
    <cellStyle name="20% - Accent6 7 6 3" xfId="1589"/>
    <cellStyle name="20% - Accent6 7 6 3 2" xfId="5900"/>
    <cellStyle name="20% - Accent6 7 6 4" xfId="5897"/>
    <cellStyle name="20% - Accent6 7 7" xfId="1590"/>
    <cellStyle name="20% - Accent6 7 7 2" xfId="1591"/>
    <cellStyle name="20% - Accent6 7 7 2 2" xfId="1592"/>
    <cellStyle name="20% - Accent6 7 7 2 2 2" xfId="5903"/>
    <cellStyle name="20% - Accent6 7 7 2 3" xfId="5902"/>
    <cellStyle name="20% - Accent6 7 7 3" xfId="1593"/>
    <cellStyle name="20% - Accent6 7 7 3 2" xfId="5904"/>
    <cellStyle name="20% - Accent6 7 7 4" xfId="5901"/>
    <cellStyle name="20% - Accent6 7 8" xfId="1594"/>
    <cellStyle name="20% - Accent6 7 8 2" xfId="1595"/>
    <cellStyle name="20% - Accent6 7 8 2 2" xfId="1596"/>
    <cellStyle name="20% - Accent6 7 8 2 2 2" xfId="5907"/>
    <cellStyle name="20% - Accent6 7 8 2 3" xfId="5906"/>
    <cellStyle name="20% - Accent6 7 8 3" xfId="1597"/>
    <cellStyle name="20% - Accent6 7 8 3 2" xfId="5908"/>
    <cellStyle name="20% - Accent6 7 8 4" xfId="5905"/>
    <cellStyle name="20% - Accent6 7 9" xfId="1598"/>
    <cellStyle name="20% - Accent6 7 9 2" xfId="1599"/>
    <cellStyle name="20% - Accent6 7 9 2 2" xfId="5910"/>
    <cellStyle name="20% - Accent6 7 9 3" xfId="5909"/>
    <cellStyle name="20% - Accent6 8" xfId="1600"/>
    <cellStyle name="20% - Accent6 8 10" xfId="1601"/>
    <cellStyle name="20% - Accent6 8 10 2" xfId="1602"/>
    <cellStyle name="20% - Accent6 8 10 2 2" xfId="5913"/>
    <cellStyle name="20% - Accent6 8 10 3" xfId="5912"/>
    <cellStyle name="20% - Accent6 8 11" xfId="1603"/>
    <cellStyle name="20% - Accent6 8 11 2" xfId="1604"/>
    <cellStyle name="20% - Accent6 8 11 2 2" xfId="5915"/>
    <cellStyle name="20% - Accent6 8 11 3" xfId="5914"/>
    <cellStyle name="20% - Accent6 8 12" xfId="1605"/>
    <cellStyle name="20% - Accent6 8 12 2" xfId="1606"/>
    <cellStyle name="20% - Accent6 8 12 2 2" xfId="5917"/>
    <cellStyle name="20% - Accent6 8 12 3" xfId="5916"/>
    <cellStyle name="20% - Accent6 8 13" xfId="1607"/>
    <cellStyle name="20% - Accent6 8 13 2" xfId="1608"/>
    <cellStyle name="20% - Accent6 8 13 2 2" xfId="5919"/>
    <cellStyle name="20% - Accent6 8 13 3" xfId="5918"/>
    <cellStyle name="20% - Accent6 8 14" xfId="1609"/>
    <cellStyle name="20% - Accent6 8 14 2" xfId="1610"/>
    <cellStyle name="20% - Accent6 8 14 2 2" xfId="5921"/>
    <cellStyle name="20% - Accent6 8 14 3" xfId="5920"/>
    <cellStyle name="20% - Accent6 8 15" xfId="1611"/>
    <cellStyle name="20% - Accent6 8 15 2" xfId="1612"/>
    <cellStyle name="20% - Accent6 8 15 2 2" xfId="5923"/>
    <cellStyle name="20% - Accent6 8 15 3" xfId="5922"/>
    <cellStyle name="20% - Accent6 8 16" xfId="1613"/>
    <cellStyle name="20% - Accent6 8 16 2" xfId="1614"/>
    <cellStyle name="20% - Accent6 8 16 2 2" xfId="5925"/>
    <cellStyle name="20% - Accent6 8 16 3" xfId="5924"/>
    <cellStyle name="20% - Accent6 8 17" xfId="1615"/>
    <cellStyle name="20% - Accent6 8 17 2" xfId="1616"/>
    <cellStyle name="20% - Accent6 8 17 2 2" xfId="5927"/>
    <cellStyle name="20% - Accent6 8 17 3" xfId="5926"/>
    <cellStyle name="20% - Accent6 8 18" xfId="1617"/>
    <cellStyle name="20% - Accent6 8 18 2" xfId="1618"/>
    <cellStyle name="20% - Accent6 8 18 2 2" xfId="5929"/>
    <cellStyle name="20% - Accent6 8 18 3" xfId="5928"/>
    <cellStyle name="20% - Accent6 8 19" xfId="1619"/>
    <cellStyle name="20% - Accent6 8 19 2" xfId="5930"/>
    <cellStyle name="20% - Accent6 8 2" xfId="1620"/>
    <cellStyle name="20% - Accent6 8 2 2" xfId="1621"/>
    <cellStyle name="20% - Accent6 8 2 2 2" xfId="1622"/>
    <cellStyle name="20% - Accent6 8 2 2 2 2" xfId="5933"/>
    <cellStyle name="20% - Accent6 8 2 2 3" xfId="5932"/>
    <cellStyle name="20% - Accent6 8 2 3" xfId="1623"/>
    <cellStyle name="20% - Accent6 8 2 3 2" xfId="5934"/>
    <cellStyle name="20% - Accent6 8 2 4" xfId="5931"/>
    <cellStyle name="20% - Accent6 8 20" xfId="1624"/>
    <cellStyle name="20% - Accent6 8 20 2" xfId="5935"/>
    <cellStyle name="20% - Accent6 8 21" xfId="5911"/>
    <cellStyle name="20% - Accent6 8 3" xfId="1625"/>
    <cellStyle name="20% - Accent6 8 3 2" xfId="1626"/>
    <cellStyle name="20% - Accent6 8 3 2 2" xfId="1627"/>
    <cellStyle name="20% - Accent6 8 3 2 2 2" xfId="5938"/>
    <cellStyle name="20% - Accent6 8 3 2 3" xfId="5937"/>
    <cellStyle name="20% - Accent6 8 3 3" xfId="1628"/>
    <cellStyle name="20% - Accent6 8 3 3 2" xfId="5939"/>
    <cellStyle name="20% - Accent6 8 3 4" xfId="5936"/>
    <cellStyle name="20% - Accent6 8 4" xfId="1629"/>
    <cellStyle name="20% - Accent6 8 4 2" xfId="1630"/>
    <cellStyle name="20% - Accent6 8 4 2 2" xfId="1631"/>
    <cellStyle name="20% - Accent6 8 4 2 2 2" xfId="5942"/>
    <cellStyle name="20% - Accent6 8 4 2 3" xfId="5941"/>
    <cellStyle name="20% - Accent6 8 4 3" xfId="1632"/>
    <cellStyle name="20% - Accent6 8 4 3 2" xfId="5943"/>
    <cellStyle name="20% - Accent6 8 4 4" xfId="5940"/>
    <cellStyle name="20% - Accent6 8 5" xfId="1633"/>
    <cellStyle name="20% - Accent6 8 5 2" xfId="1634"/>
    <cellStyle name="20% - Accent6 8 5 2 2" xfId="1635"/>
    <cellStyle name="20% - Accent6 8 5 2 2 2" xfId="5946"/>
    <cellStyle name="20% - Accent6 8 5 2 3" xfId="5945"/>
    <cellStyle name="20% - Accent6 8 5 3" xfId="1636"/>
    <cellStyle name="20% - Accent6 8 5 3 2" xfId="5947"/>
    <cellStyle name="20% - Accent6 8 5 4" xfId="5944"/>
    <cellStyle name="20% - Accent6 8 6" xfId="1637"/>
    <cellStyle name="20% - Accent6 8 6 2" xfId="1638"/>
    <cellStyle name="20% - Accent6 8 6 2 2" xfId="1639"/>
    <cellStyle name="20% - Accent6 8 6 2 2 2" xfId="5950"/>
    <cellStyle name="20% - Accent6 8 6 2 3" xfId="5949"/>
    <cellStyle name="20% - Accent6 8 6 3" xfId="1640"/>
    <cellStyle name="20% - Accent6 8 6 3 2" xfId="5951"/>
    <cellStyle name="20% - Accent6 8 6 4" xfId="5948"/>
    <cellStyle name="20% - Accent6 8 7" xfId="1641"/>
    <cellStyle name="20% - Accent6 8 7 2" xfId="1642"/>
    <cellStyle name="20% - Accent6 8 7 2 2" xfId="1643"/>
    <cellStyle name="20% - Accent6 8 7 2 2 2" xfId="5954"/>
    <cellStyle name="20% - Accent6 8 7 2 3" xfId="5953"/>
    <cellStyle name="20% - Accent6 8 7 3" xfId="1644"/>
    <cellStyle name="20% - Accent6 8 7 3 2" xfId="5955"/>
    <cellStyle name="20% - Accent6 8 7 4" xfId="5952"/>
    <cellStyle name="20% - Accent6 8 8" xfId="1645"/>
    <cellStyle name="20% - Accent6 8 8 2" xfId="1646"/>
    <cellStyle name="20% - Accent6 8 8 2 2" xfId="1647"/>
    <cellStyle name="20% - Accent6 8 8 2 2 2" xfId="5958"/>
    <cellStyle name="20% - Accent6 8 8 2 3" xfId="5957"/>
    <cellStyle name="20% - Accent6 8 8 3" xfId="1648"/>
    <cellStyle name="20% - Accent6 8 8 3 2" xfId="5959"/>
    <cellStyle name="20% - Accent6 8 8 4" xfId="5956"/>
    <cellStyle name="20% - Accent6 8 9" xfId="1649"/>
    <cellStyle name="20% - Accent6 8 9 2" xfId="1650"/>
    <cellStyle name="20% - Accent6 8 9 2 2" xfId="5961"/>
    <cellStyle name="20% - Accent6 8 9 3" xfId="5960"/>
    <cellStyle name="40% - Accent1" xfId="25" builtinId="31" customBuiltin="1"/>
    <cellStyle name="40% - Accent1 2" xfId="26"/>
    <cellStyle name="40% - Accent1 2 2" xfId="27"/>
    <cellStyle name="40% - Accent1 3" xfId="28"/>
    <cellStyle name="40% - Accent1 4" xfId="1651"/>
    <cellStyle name="40% - Accent1 4 10" xfId="1652"/>
    <cellStyle name="40% - Accent1 4 10 2" xfId="1653"/>
    <cellStyle name="40% - Accent1 4 10 2 2" xfId="5964"/>
    <cellStyle name="40% - Accent1 4 10 3" xfId="5963"/>
    <cellStyle name="40% - Accent1 4 11" xfId="1654"/>
    <cellStyle name="40% - Accent1 4 11 2" xfId="1655"/>
    <cellStyle name="40% - Accent1 4 11 2 2" xfId="5966"/>
    <cellStyle name="40% - Accent1 4 11 3" xfId="5965"/>
    <cellStyle name="40% - Accent1 4 12" xfId="1656"/>
    <cellStyle name="40% - Accent1 4 12 2" xfId="1657"/>
    <cellStyle name="40% - Accent1 4 12 2 2" xfId="5968"/>
    <cellStyle name="40% - Accent1 4 12 3" xfId="5967"/>
    <cellStyle name="40% - Accent1 4 13" xfId="1658"/>
    <cellStyle name="40% - Accent1 4 13 2" xfId="1659"/>
    <cellStyle name="40% - Accent1 4 13 2 2" xfId="5970"/>
    <cellStyle name="40% - Accent1 4 13 3" xfId="5969"/>
    <cellStyle name="40% - Accent1 4 14" xfId="1660"/>
    <cellStyle name="40% - Accent1 4 14 2" xfId="1661"/>
    <cellStyle name="40% - Accent1 4 14 2 2" xfId="5972"/>
    <cellStyle name="40% - Accent1 4 14 3" xfId="5971"/>
    <cellStyle name="40% - Accent1 4 15" xfId="1662"/>
    <cellStyle name="40% - Accent1 4 15 2" xfId="1663"/>
    <cellStyle name="40% - Accent1 4 15 2 2" xfId="5974"/>
    <cellStyle name="40% - Accent1 4 15 3" xfId="5973"/>
    <cellStyle name="40% - Accent1 4 16" xfId="1664"/>
    <cellStyle name="40% - Accent1 4 16 2" xfId="1665"/>
    <cellStyle name="40% - Accent1 4 16 2 2" xfId="5976"/>
    <cellStyle name="40% - Accent1 4 16 3" xfId="5975"/>
    <cellStyle name="40% - Accent1 4 17" xfId="1666"/>
    <cellStyle name="40% - Accent1 4 17 2" xfId="1667"/>
    <cellStyle name="40% - Accent1 4 17 2 2" xfId="5978"/>
    <cellStyle name="40% - Accent1 4 17 3" xfId="5977"/>
    <cellStyle name="40% - Accent1 4 18" xfId="1668"/>
    <cellStyle name="40% - Accent1 4 18 2" xfId="1669"/>
    <cellStyle name="40% - Accent1 4 18 2 2" xfId="5980"/>
    <cellStyle name="40% - Accent1 4 18 3" xfId="5979"/>
    <cellStyle name="40% - Accent1 4 19" xfId="1670"/>
    <cellStyle name="40% - Accent1 4 19 2" xfId="5981"/>
    <cellStyle name="40% - Accent1 4 2" xfId="1671"/>
    <cellStyle name="40% - Accent1 4 2 2" xfId="1672"/>
    <cellStyle name="40% - Accent1 4 2 2 2" xfId="1673"/>
    <cellStyle name="40% - Accent1 4 2 2 2 2" xfId="5984"/>
    <cellStyle name="40% - Accent1 4 2 2 3" xfId="5983"/>
    <cellStyle name="40% - Accent1 4 2 3" xfId="1674"/>
    <cellStyle name="40% - Accent1 4 2 3 2" xfId="5985"/>
    <cellStyle name="40% - Accent1 4 2 4" xfId="5982"/>
    <cellStyle name="40% - Accent1 4 20" xfId="1675"/>
    <cellStyle name="40% - Accent1 4 20 2" xfId="5986"/>
    <cellStyle name="40% - Accent1 4 21" xfId="5962"/>
    <cellStyle name="40% - Accent1 4 3" xfId="1676"/>
    <cellStyle name="40% - Accent1 4 3 2" xfId="1677"/>
    <cellStyle name="40% - Accent1 4 3 2 2" xfId="1678"/>
    <cellStyle name="40% - Accent1 4 3 2 2 2" xfId="5989"/>
    <cellStyle name="40% - Accent1 4 3 2 3" xfId="5988"/>
    <cellStyle name="40% - Accent1 4 3 3" xfId="1679"/>
    <cellStyle name="40% - Accent1 4 3 3 2" xfId="5990"/>
    <cellStyle name="40% - Accent1 4 3 4" xfId="5987"/>
    <cellStyle name="40% - Accent1 4 4" xfId="1680"/>
    <cellStyle name="40% - Accent1 4 4 2" xfId="1681"/>
    <cellStyle name="40% - Accent1 4 4 2 2" xfId="1682"/>
    <cellStyle name="40% - Accent1 4 4 2 2 2" xfId="5993"/>
    <cellStyle name="40% - Accent1 4 4 2 3" xfId="5992"/>
    <cellStyle name="40% - Accent1 4 4 3" xfId="1683"/>
    <cellStyle name="40% - Accent1 4 4 3 2" xfId="5994"/>
    <cellStyle name="40% - Accent1 4 4 4" xfId="5991"/>
    <cellStyle name="40% - Accent1 4 5" xfId="1684"/>
    <cellStyle name="40% - Accent1 4 5 2" xfId="1685"/>
    <cellStyle name="40% - Accent1 4 5 2 2" xfId="1686"/>
    <cellStyle name="40% - Accent1 4 5 2 2 2" xfId="5997"/>
    <cellStyle name="40% - Accent1 4 5 2 3" xfId="5996"/>
    <cellStyle name="40% - Accent1 4 5 3" xfId="1687"/>
    <cellStyle name="40% - Accent1 4 5 3 2" xfId="5998"/>
    <cellStyle name="40% - Accent1 4 5 4" xfId="5995"/>
    <cellStyle name="40% - Accent1 4 6" xfId="1688"/>
    <cellStyle name="40% - Accent1 4 6 2" xfId="1689"/>
    <cellStyle name="40% - Accent1 4 6 2 2" xfId="1690"/>
    <cellStyle name="40% - Accent1 4 6 2 2 2" xfId="6001"/>
    <cellStyle name="40% - Accent1 4 6 2 3" xfId="6000"/>
    <cellStyle name="40% - Accent1 4 6 3" xfId="1691"/>
    <cellStyle name="40% - Accent1 4 6 3 2" xfId="6002"/>
    <cellStyle name="40% - Accent1 4 6 4" xfId="5999"/>
    <cellStyle name="40% - Accent1 4 7" xfId="1692"/>
    <cellStyle name="40% - Accent1 4 7 2" xfId="1693"/>
    <cellStyle name="40% - Accent1 4 7 2 2" xfId="1694"/>
    <cellStyle name="40% - Accent1 4 7 2 2 2" xfId="6005"/>
    <cellStyle name="40% - Accent1 4 7 2 3" xfId="6004"/>
    <cellStyle name="40% - Accent1 4 7 3" xfId="1695"/>
    <cellStyle name="40% - Accent1 4 7 3 2" xfId="6006"/>
    <cellStyle name="40% - Accent1 4 7 4" xfId="6003"/>
    <cellStyle name="40% - Accent1 4 8" xfId="1696"/>
    <cellStyle name="40% - Accent1 4 8 2" xfId="1697"/>
    <cellStyle name="40% - Accent1 4 8 2 2" xfId="1698"/>
    <cellStyle name="40% - Accent1 4 8 2 2 2" xfId="6009"/>
    <cellStyle name="40% - Accent1 4 8 2 3" xfId="6008"/>
    <cellStyle name="40% - Accent1 4 8 3" xfId="1699"/>
    <cellStyle name="40% - Accent1 4 8 3 2" xfId="6010"/>
    <cellStyle name="40% - Accent1 4 8 4" xfId="6007"/>
    <cellStyle name="40% - Accent1 4 9" xfId="1700"/>
    <cellStyle name="40% - Accent1 4 9 2" xfId="1701"/>
    <cellStyle name="40% - Accent1 4 9 2 2" xfId="6012"/>
    <cellStyle name="40% - Accent1 4 9 3" xfId="6011"/>
    <cellStyle name="40% - Accent1 5" xfId="1702"/>
    <cellStyle name="40% - Accent1 5 10" xfId="1703"/>
    <cellStyle name="40% - Accent1 5 10 2" xfId="1704"/>
    <cellStyle name="40% - Accent1 5 10 2 2" xfId="6015"/>
    <cellStyle name="40% - Accent1 5 10 3" xfId="6014"/>
    <cellStyle name="40% - Accent1 5 11" xfId="1705"/>
    <cellStyle name="40% - Accent1 5 11 2" xfId="1706"/>
    <cellStyle name="40% - Accent1 5 11 2 2" xfId="6017"/>
    <cellStyle name="40% - Accent1 5 11 3" xfId="6016"/>
    <cellStyle name="40% - Accent1 5 12" xfId="1707"/>
    <cellStyle name="40% - Accent1 5 12 2" xfId="1708"/>
    <cellStyle name="40% - Accent1 5 12 2 2" xfId="6019"/>
    <cellStyle name="40% - Accent1 5 12 3" xfId="6018"/>
    <cellStyle name="40% - Accent1 5 13" xfId="1709"/>
    <cellStyle name="40% - Accent1 5 13 2" xfId="1710"/>
    <cellStyle name="40% - Accent1 5 13 2 2" xfId="6021"/>
    <cellStyle name="40% - Accent1 5 13 3" xfId="6020"/>
    <cellStyle name="40% - Accent1 5 14" xfId="1711"/>
    <cellStyle name="40% - Accent1 5 14 2" xfId="1712"/>
    <cellStyle name="40% - Accent1 5 14 2 2" xfId="6023"/>
    <cellStyle name="40% - Accent1 5 14 3" xfId="6022"/>
    <cellStyle name="40% - Accent1 5 15" xfId="1713"/>
    <cellStyle name="40% - Accent1 5 15 2" xfId="1714"/>
    <cellStyle name="40% - Accent1 5 15 2 2" xfId="6025"/>
    <cellStyle name="40% - Accent1 5 15 3" xfId="6024"/>
    <cellStyle name="40% - Accent1 5 16" xfId="1715"/>
    <cellStyle name="40% - Accent1 5 16 2" xfId="1716"/>
    <cellStyle name="40% - Accent1 5 16 2 2" xfId="6027"/>
    <cellStyle name="40% - Accent1 5 16 3" xfId="6026"/>
    <cellStyle name="40% - Accent1 5 17" xfId="1717"/>
    <cellStyle name="40% - Accent1 5 17 2" xfId="1718"/>
    <cellStyle name="40% - Accent1 5 17 2 2" xfId="6029"/>
    <cellStyle name="40% - Accent1 5 17 3" xfId="6028"/>
    <cellStyle name="40% - Accent1 5 18" xfId="1719"/>
    <cellStyle name="40% - Accent1 5 18 2" xfId="1720"/>
    <cellStyle name="40% - Accent1 5 18 2 2" xfId="6031"/>
    <cellStyle name="40% - Accent1 5 18 3" xfId="6030"/>
    <cellStyle name="40% - Accent1 5 19" xfId="1721"/>
    <cellStyle name="40% - Accent1 5 19 2" xfId="6032"/>
    <cellStyle name="40% - Accent1 5 2" xfId="1722"/>
    <cellStyle name="40% - Accent1 5 2 2" xfId="1723"/>
    <cellStyle name="40% - Accent1 5 2 2 2" xfId="1724"/>
    <cellStyle name="40% - Accent1 5 2 2 2 2" xfId="6035"/>
    <cellStyle name="40% - Accent1 5 2 2 3" xfId="6034"/>
    <cellStyle name="40% - Accent1 5 2 3" xfId="1725"/>
    <cellStyle name="40% - Accent1 5 2 3 2" xfId="6036"/>
    <cellStyle name="40% - Accent1 5 2 4" xfId="6033"/>
    <cellStyle name="40% - Accent1 5 20" xfId="1726"/>
    <cellStyle name="40% - Accent1 5 20 2" xfId="6037"/>
    <cellStyle name="40% - Accent1 5 21" xfId="6013"/>
    <cellStyle name="40% - Accent1 5 3" xfId="1727"/>
    <cellStyle name="40% - Accent1 5 3 2" xfId="1728"/>
    <cellStyle name="40% - Accent1 5 3 2 2" xfId="1729"/>
    <cellStyle name="40% - Accent1 5 3 2 2 2" xfId="6040"/>
    <cellStyle name="40% - Accent1 5 3 2 3" xfId="6039"/>
    <cellStyle name="40% - Accent1 5 3 3" xfId="1730"/>
    <cellStyle name="40% - Accent1 5 3 3 2" xfId="6041"/>
    <cellStyle name="40% - Accent1 5 3 4" xfId="6038"/>
    <cellStyle name="40% - Accent1 5 4" xfId="1731"/>
    <cellStyle name="40% - Accent1 5 4 2" xfId="1732"/>
    <cellStyle name="40% - Accent1 5 4 2 2" xfId="1733"/>
    <cellStyle name="40% - Accent1 5 4 2 2 2" xfId="6044"/>
    <cellStyle name="40% - Accent1 5 4 2 3" xfId="6043"/>
    <cellStyle name="40% - Accent1 5 4 3" xfId="1734"/>
    <cellStyle name="40% - Accent1 5 4 3 2" xfId="6045"/>
    <cellStyle name="40% - Accent1 5 4 4" xfId="6042"/>
    <cellStyle name="40% - Accent1 5 5" xfId="1735"/>
    <cellStyle name="40% - Accent1 5 5 2" xfId="1736"/>
    <cellStyle name="40% - Accent1 5 5 2 2" xfId="1737"/>
    <cellStyle name="40% - Accent1 5 5 2 2 2" xfId="6048"/>
    <cellStyle name="40% - Accent1 5 5 2 3" xfId="6047"/>
    <cellStyle name="40% - Accent1 5 5 3" xfId="1738"/>
    <cellStyle name="40% - Accent1 5 5 3 2" xfId="6049"/>
    <cellStyle name="40% - Accent1 5 5 4" xfId="6046"/>
    <cellStyle name="40% - Accent1 5 6" xfId="1739"/>
    <cellStyle name="40% - Accent1 5 6 2" xfId="1740"/>
    <cellStyle name="40% - Accent1 5 6 2 2" xfId="1741"/>
    <cellStyle name="40% - Accent1 5 6 2 2 2" xfId="6052"/>
    <cellStyle name="40% - Accent1 5 6 2 3" xfId="6051"/>
    <cellStyle name="40% - Accent1 5 6 3" xfId="1742"/>
    <cellStyle name="40% - Accent1 5 6 3 2" xfId="6053"/>
    <cellStyle name="40% - Accent1 5 6 4" xfId="6050"/>
    <cellStyle name="40% - Accent1 5 7" xfId="1743"/>
    <cellStyle name="40% - Accent1 5 7 2" xfId="1744"/>
    <cellStyle name="40% - Accent1 5 7 2 2" xfId="1745"/>
    <cellStyle name="40% - Accent1 5 7 2 2 2" xfId="6056"/>
    <cellStyle name="40% - Accent1 5 7 2 3" xfId="6055"/>
    <cellStyle name="40% - Accent1 5 7 3" xfId="1746"/>
    <cellStyle name="40% - Accent1 5 7 3 2" xfId="6057"/>
    <cellStyle name="40% - Accent1 5 7 4" xfId="6054"/>
    <cellStyle name="40% - Accent1 5 8" xfId="1747"/>
    <cellStyle name="40% - Accent1 5 8 2" xfId="1748"/>
    <cellStyle name="40% - Accent1 5 8 2 2" xfId="1749"/>
    <cellStyle name="40% - Accent1 5 8 2 2 2" xfId="6060"/>
    <cellStyle name="40% - Accent1 5 8 2 3" xfId="6059"/>
    <cellStyle name="40% - Accent1 5 8 3" xfId="1750"/>
    <cellStyle name="40% - Accent1 5 8 3 2" xfId="6061"/>
    <cellStyle name="40% - Accent1 5 8 4" xfId="6058"/>
    <cellStyle name="40% - Accent1 5 9" xfId="1751"/>
    <cellStyle name="40% - Accent1 5 9 2" xfId="1752"/>
    <cellStyle name="40% - Accent1 5 9 2 2" xfId="6063"/>
    <cellStyle name="40% - Accent1 5 9 3" xfId="6062"/>
    <cellStyle name="40% - Accent1 6" xfId="1753"/>
    <cellStyle name="40% - Accent1 6 10" xfId="1754"/>
    <cellStyle name="40% - Accent1 6 10 2" xfId="1755"/>
    <cellStyle name="40% - Accent1 6 10 2 2" xfId="6066"/>
    <cellStyle name="40% - Accent1 6 10 3" xfId="6065"/>
    <cellStyle name="40% - Accent1 6 11" xfId="1756"/>
    <cellStyle name="40% - Accent1 6 11 2" xfId="1757"/>
    <cellStyle name="40% - Accent1 6 11 2 2" xfId="6068"/>
    <cellStyle name="40% - Accent1 6 11 3" xfId="6067"/>
    <cellStyle name="40% - Accent1 6 12" xfId="1758"/>
    <cellStyle name="40% - Accent1 6 12 2" xfId="1759"/>
    <cellStyle name="40% - Accent1 6 12 2 2" xfId="6070"/>
    <cellStyle name="40% - Accent1 6 12 3" xfId="6069"/>
    <cellStyle name="40% - Accent1 6 13" xfId="1760"/>
    <cellStyle name="40% - Accent1 6 13 2" xfId="1761"/>
    <cellStyle name="40% - Accent1 6 13 2 2" xfId="6072"/>
    <cellStyle name="40% - Accent1 6 13 3" xfId="6071"/>
    <cellStyle name="40% - Accent1 6 14" xfId="1762"/>
    <cellStyle name="40% - Accent1 6 14 2" xfId="1763"/>
    <cellStyle name="40% - Accent1 6 14 2 2" xfId="6074"/>
    <cellStyle name="40% - Accent1 6 14 3" xfId="6073"/>
    <cellStyle name="40% - Accent1 6 15" xfId="1764"/>
    <cellStyle name="40% - Accent1 6 15 2" xfId="1765"/>
    <cellStyle name="40% - Accent1 6 15 2 2" xfId="6076"/>
    <cellStyle name="40% - Accent1 6 15 3" xfId="6075"/>
    <cellStyle name="40% - Accent1 6 16" xfId="1766"/>
    <cellStyle name="40% - Accent1 6 16 2" xfId="1767"/>
    <cellStyle name="40% - Accent1 6 16 2 2" xfId="6078"/>
    <cellStyle name="40% - Accent1 6 16 3" xfId="6077"/>
    <cellStyle name="40% - Accent1 6 17" xfId="1768"/>
    <cellStyle name="40% - Accent1 6 17 2" xfId="1769"/>
    <cellStyle name="40% - Accent1 6 17 2 2" xfId="6080"/>
    <cellStyle name="40% - Accent1 6 17 3" xfId="6079"/>
    <cellStyle name="40% - Accent1 6 18" xfId="1770"/>
    <cellStyle name="40% - Accent1 6 18 2" xfId="1771"/>
    <cellStyle name="40% - Accent1 6 18 2 2" xfId="6082"/>
    <cellStyle name="40% - Accent1 6 18 3" xfId="6081"/>
    <cellStyle name="40% - Accent1 6 19" xfId="1772"/>
    <cellStyle name="40% - Accent1 6 19 2" xfId="6083"/>
    <cellStyle name="40% - Accent1 6 2" xfId="1773"/>
    <cellStyle name="40% - Accent1 6 2 2" xfId="1774"/>
    <cellStyle name="40% - Accent1 6 2 2 2" xfId="1775"/>
    <cellStyle name="40% - Accent1 6 2 2 2 2" xfId="6086"/>
    <cellStyle name="40% - Accent1 6 2 2 3" xfId="6085"/>
    <cellStyle name="40% - Accent1 6 2 3" xfId="1776"/>
    <cellStyle name="40% - Accent1 6 2 3 2" xfId="6087"/>
    <cellStyle name="40% - Accent1 6 2 4" xfId="6084"/>
    <cellStyle name="40% - Accent1 6 20" xfId="1777"/>
    <cellStyle name="40% - Accent1 6 20 2" xfId="6088"/>
    <cellStyle name="40% - Accent1 6 21" xfId="6064"/>
    <cellStyle name="40% - Accent1 6 3" xfId="1778"/>
    <cellStyle name="40% - Accent1 6 3 2" xfId="1779"/>
    <cellStyle name="40% - Accent1 6 3 2 2" xfId="1780"/>
    <cellStyle name="40% - Accent1 6 3 2 2 2" xfId="6091"/>
    <cellStyle name="40% - Accent1 6 3 2 3" xfId="6090"/>
    <cellStyle name="40% - Accent1 6 3 3" xfId="1781"/>
    <cellStyle name="40% - Accent1 6 3 3 2" xfId="6092"/>
    <cellStyle name="40% - Accent1 6 3 4" xfId="6089"/>
    <cellStyle name="40% - Accent1 6 4" xfId="1782"/>
    <cellStyle name="40% - Accent1 6 4 2" xfId="1783"/>
    <cellStyle name="40% - Accent1 6 4 2 2" xfId="1784"/>
    <cellStyle name="40% - Accent1 6 4 2 2 2" xfId="6095"/>
    <cellStyle name="40% - Accent1 6 4 2 3" xfId="6094"/>
    <cellStyle name="40% - Accent1 6 4 3" xfId="1785"/>
    <cellStyle name="40% - Accent1 6 4 3 2" xfId="6096"/>
    <cellStyle name="40% - Accent1 6 4 4" xfId="6093"/>
    <cellStyle name="40% - Accent1 6 5" xfId="1786"/>
    <cellStyle name="40% - Accent1 6 5 2" xfId="1787"/>
    <cellStyle name="40% - Accent1 6 5 2 2" xfId="1788"/>
    <cellStyle name="40% - Accent1 6 5 2 2 2" xfId="6099"/>
    <cellStyle name="40% - Accent1 6 5 2 3" xfId="6098"/>
    <cellStyle name="40% - Accent1 6 5 3" xfId="1789"/>
    <cellStyle name="40% - Accent1 6 5 3 2" xfId="6100"/>
    <cellStyle name="40% - Accent1 6 5 4" xfId="6097"/>
    <cellStyle name="40% - Accent1 6 6" xfId="1790"/>
    <cellStyle name="40% - Accent1 6 6 2" xfId="1791"/>
    <cellStyle name="40% - Accent1 6 6 2 2" xfId="1792"/>
    <cellStyle name="40% - Accent1 6 6 2 2 2" xfId="6103"/>
    <cellStyle name="40% - Accent1 6 6 2 3" xfId="6102"/>
    <cellStyle name="40% - Accent1 6 6 3" xfId="1793"/>
    <cellStyle name="40% - Accent1 6 6 3 2" xfId="6104"/>
    <cellStyle name="40% - Accent1 6 6 4" xfId="6101"/>
    <cellStyle name="40% - Accent1 6 7" xfId="1794"/>
    <cellStyle name="40% - Accent1 6 7 2" xfId="1795"/>
    <cellStyle name="40% - Accent1 6 7 2 2" xfId="1796"/>
    <cellStyle name="40% - Accent1 6 7 2 2 2" xfId="6107"/>
    <cellStyle name="40% - Accent1 6 7 2 3" xfId="6106"/>
    <cellStyle name="40% - Accent1 6 7 3" xfId="1797"/>
    <cellStyle name="40% - Accent1 6 7 3 2" xfId="6108"/>
    <cellStyle name="40% - Accent1 6 7 4" xfId="6105"/>
    <cellStyle name="40% - Accent1 6 8" xfId="1798"/>
    <cellStyle name="40% - Accent1 6 8 2" xfId="1799"/>
    <cellStyle name="40% - Accent1 6 8 2 2" xfId="1800"/>
    <cellStyle name="40% - Accent1 6 8 2 2 2" xfId="6111"/>
    <cellStyle name="40% - Accent1 6 8 2 3" xfId="6110"/>
    <cellStyle name="40% - Accent1 6 8 3" xfId="1801"/>
    <cellStyle name="40% - Accent1 6 8 3 2" xfId="6112"/>
    <cellStyle name="40% - Accent1 6 8 4" xfId="6109"/>
    <cellStyle name="40% - Accent1 6 9" xfId="1802"/>
    <cellStyle name="40% - Accent1 6 9 2" xfId="1803"/>
    <cellStyle name="40% - Accent1 6 9 2 2" xfId="6114"/>
    <cellStyle name="40% - Accent1 6 9 3" xfId="6113"/>
    <cellStyle name="40% - Accent1 7" xfId="1804"/>
    <cellStyle name="40% - Accent1 7 10" xfId="1805"/>
    <cellStyle name="40% - Accent1 7 10 2" xfId="1806"/>
    <cellStyle name="40% - Accent1 7 10 2 2" xfId="6117"/>
    <cellStyle name="40% - Accent1 7 10 3" xfId="6116"/>
    <cellStyle name="40% - Accent1 7 11" xfId="1807"/>
    <cellStyle name="40% - Accent1 7 11 2" xfId="1808"/>
    <cellStyle name="40% - Accent1 7 11 2 2" xfId="6119"/>
    <cellStyle name="40% - Accent1 7 11 3" xfId="6118"/>
    <cellStyle name="40% - Accent1 7 12" xfId="1809"/>
    <cellStyle name="40% - Accent1 7 12 2" xfId="1810"/>
    <cellStyle name="40% - Accent1 7 12 2 2" xfId="6121"/>
    <cellStyle name="40% - Accent1 7 12 3" xfId="6120"/>
    <cellStyle name="40% - Accent1 7 13" xfId="1811"/>
    <cellStyle name="40% - Accent1 7 13 2" xfId="1812"/>
    <cellStyle name="40% - Accent1 7 13 2 2" xfId="6123"/>
    <cellStyle name="40% - Accent1 7 13 3" xfId="6122"/>
    <cellStyle name="40% - Accent1 7 14" xfId="1813"/>
    <cellStyle name="40% - Accent1 7 14 2" xfId="1814"/>
    <cellStyle name="40% - Accent1 7 14 2 2" xfId="6125"/>
    <cellStyle name="40% - Accent1 7 14 3" xfId="6124"/>
    <cellStyle name="40% - Accent1 7 15" xfId="1815"/>
    <cellStyle name="40% - Accent1 7 15 2" xfId="1816"/>
    <cellStyle name="40% - Accent1 7 15 2 2" xfId="6127"/>
    <cellStyle name="40% - Accent1 7 15 3" xfId="6126"/>
    <cellStyle name="40% - Accent1 7 16" xfId="1817"/>
    <cellStyle name="40% - Accent1 7 16 2" xfId="1818"/>
    <cellStyle name="40% - Accent1 7 16 2 2" xfId="6129"/>
    <cellStyle name="40% - Accent1 7 16 3" xfId="6128"/>
    <cellStyle name="40% - Accent1 7 17" xfId="1819"/>
    <cellStyle name="40% - Accent1 7 17 2" xfId="1820"/>
    <cellStyle name="40% - Accent1 7 17 2 2" xfId="6131"/>
    <cellStyle name="40% - Accent1 7 17 3" xfId="6130"/>
    <cellStyle name="40% - Accent1 7 18" xfId="1821"/>
    <cellStyle name="40% - Accent1 7 18 2" xfId="1822"/>
    <cellStyle name="40% - Accent1 7 18 2 2" xfId="6133"/>
    <cellStyle name="40% - Accent1 7 18 3" xfId="6132"/>
    <cellStyle name="40% - Accent1 7 19" xfId="1823"/>
    <cellStyle name="40% - Accent1 7 19 2" xfId="6134"/>
    <cellStyle name="40% - Accent1 7 2" xfId="1824"/>
    <cellStyle name="40% - Accent1 7 2 2" xfId="1825"/>
    <cellStyle name="40% - Accent1 7 2 2 2" xfId="1826"/>
    <cellStyle name="40% - Accent1 7 2 2 2 2" xfId="6137"/>
    <cellStyle name="40% - Accent1 7 2 2 3" xfId="6136"/>
    <cellStyle name="40% - Accent1 7 2 3" xfId="1827"/>
    <cellStyle name="40% - Accent1 7 2 3 2" xfId="6138"/>
    <cellStyle name="40% - Accent1 7 2 4" xfId="6135"/>
    <cellStyle name="40% - Accent1 7 20" xfId="1828"/>
    <cellStyle name="40% - Accent1 7 20 2" xfId="6139"/>
    <cellStyle name="40% - Accent1 7 21" xfId="6115"/>
    <cellStyle name="40% - Accent1 7 3" xfId="1829"/>
    <cellStyle name="40% - Accent1 7 3 2" xfId="1830"/>
    <cellStyle name="40% - Accent1 7 3 2 2" xfId="1831"/>
    <cellStyle name="40% - Accent1 7 3 2 2 2" xfId="6142"/>
    <cellStyle name="40% - Accent1 7 3 2 3" xfId="6141"/>
    <cellStyle name="40% - Accent1 7 3 3" xfId="1832"/>
    <cellStyle name="40% - Accent1 7 3 3 2" xfId="6143"/>
    <cellStyle name="40% - Accent1 7 3 4" xfId="6140"/>
    <cellStyle name="40% - Accent1 7 4" xfId="1833"/>
    <cellStyle name="40% - Accent1 7 4 2" xfId="1834"/>
    <cellStyle name="40% - Accent1 7 4 2 2" xfId="1835"/>
    <cellStyle name="40% - Accent1 7 4 2 2 2" xfId="6146"/>
    <cellStyle name="40% - Accent1 7 4 2 3" xfId="6145"/>
    <cellStyle name="40% - Accent1 7 4 3" xfId="1836"/>
    <cellStyle name="40% - Accent1 7 4 3 2" xfId="6147"/>
    <cellStyle name="40% - Accent1 7 4 4" xfId="6144"/>
    <cellStyle name="40% - Accent1 7 5" xfId="1837"/>
    <cellStyle name="40% - Accent1 7 5 2" xfId="1838"/>
    <cellStyle name="40% - Accent1 7 5 2 2" xfId="1839"/>
    <cellStyle name="40% - Accent1 7 5 2 2 2" xfId="6150"/>
    <cellStyle name="40% - Accent1 7 5 2 3" xfId="6149"/>
    <cellStyle name="40% - Accent1 7 5 3" xfId="1840"/>
    <cellStyle name="40% - Accent1 7 5 3 2" xfId="6151"/>
    <cellStyle name="40% - Accent1 7 5 4" xfId="6148"/>
    <cellStyle name="40% - Accent1 7 6" xfId="1841"/>
    <cellStyle name="40% - Accent1 7 6 2" xfId="1842"/>
    <cellStyle name="40% - Accent1 7 6 2 2" xfId="1843"/>
    <cellStyle name="40% - Accent1 7 6 2 2 2" xfId="6154"/>
    <cellStyle name="40% - Accent1 7 6 2 3" xfId="6153"/>
    <cellStyle name="40% - Accent1 7 6 3" xfId="1844"/>
    <cellStyle name="40% - Accent1 7 6 3 2" xfId="6155"/>
    <cellStyle name="40% - Accent1 7 6 4" xfId="6152"/>
    <cellStyle name="40% - Accent1 7 7" xfId="1845"/>
    <cellStyle name="40% - Accent1 7 7 2" xfId="1846"/>
    <cellStyle name="40% - Accent1 7 7 2 2" xfId="1847"/>
    <cellStyle name="40% - Accent1 7 7 2 2 2" xfId="6158"/>
    <cellStyle name="40% - Accent1 7 7 2 3" xfId="6157"/>
    <cellStyle name="40% - Accent1 7 7 3" xfId="1848"/>
    <cellStyle name="40% - Accent1 7 7 3 2" xfId="6159"/>
    <cellStyle name="40% - Accent1 7 7 4" xfId="6156"/>
    <cellStyle name="40% - Accent1 7 8" xfId="1849"/>
    <cellStyle name="40% - Accent1 7 8 2" xfId="1850"/>
    <cellStyle name="40% - Accent1 7 8 2 2" xfId="1851"/>
    <cellStyle name="40% - Accent1 7 8 2 2 2" xfId="6162"/>
    <cellStyle name="40% - Accent1 7 8 2 3" xfId="6161"/>
    <cellStyle name="40% - Accent1 7 8 3" xfId="1852"/>
    <cellStyle name="40% - Accent1 7 8 3 2" xfId="6163"/>
    <cellStyle name="40% - Accent1 7 8 4" xfId="6160"/>
    <cellStyle name="40% - Accent1 7 9" xfId="1853"/>
    <cellStyle name="40% - Accent1 7 9 2" xfId="1854"/>
    <cellStyle name="40% - Accent1 7 9 2 2" xfId="6165"/>
    <cellStyle name="40% - Accent1 7 9 3" xfId="6164"/>
    <cellStyle name="40% - Accent1 8" xfId="1855"/>
    <cellStyle name="40% - Accent1 8 10" xfId="1856"/>
    <cellStyle name="40% - Accent1 8 10 2" xfId="1857"/>
    <cellStyle name="40% - Accent1 8 10 2 2" xfId="6168"/>
    <cellStyle name="40% - Accent1 8 10 3" xfId="6167"/>
    <cellStyle name="40% - Accent1 8 11" xfId="1858"/>
    <cellStyle name="40% - Accent1 8 11 2" xfId="1859"/>
    <cellStyle name="40% - Accent1 8 11 2 2" xfId="6170"/>
    <cellStyle name="40% - Accent1 8 11 3" xfId="6169"/>
    <cellStyle name="40% - Accent1 8 12" xfId="1860"/>
    <cellStyle name="40% - Accent1 8 12 2" xfId="1861"/>
    <cellStyle name="40% - Accent1 8 12 2 2" xfId="6172"/>
    <cellStyle name="40% - Accent1 8 12 3" xfId="6171"/>
    <cellStyle name="40% - Accent1 8 13" xfId="1862"/>
    <cellStyle name="40% - Accent1 8 13 2" xfId="1863"/>
    <cellStyle name="40% - Accent1 8 13 2 2" xfId="6174"/>
    <cellStyle name="40% - Accent1 8 13 3" xfId="6173"/>
    <cellStyle name="40% - Accent1 8 14" xfId="1864"/>
    <cellStyle name="40% - Accent1 8 14 2" xfId="1865"/>
    <cellStyle name="40% - Accent1 8 14 2 2" xfId="6176"/>
    <cellStyle name="40% - Accent1 8 14 3" xfId="6175"/>
    <cellStyle name="40% - Accent1 8 15" xfId="1866"/>
    <cellStyle name="40% - Accent1 8 15 2" xfId="1867"/>
    <cellStyle name="40% - Accent1 8 15 2 2" xfId="6178"/>
    <cellStyle name="40% - Accent1 8 15 3" xfId="6177"/>
    <cellStyle name="40% - Accent1 8 16" xfId="1868"/>
    <cellStyle name="40% - Accent1 8 16 2" xfId="1869"/>
    <cellStyle name="40% - Accent1 8 16 2 2" xfId="6180"/>
    <cellStyle name="40% - Accent1 8 16 3" xfId="6179"/>
    <cellStyle name="40% - Accent1 8 17" xfId="1870"/>
    <cellStyle name="40% - Accent1 8 17 2" xfId="1871"/>
    <cellStyle name="40% - Accent1 8 17 2 2" xfId="6182"/>
    <cellStyle name="40% - Accent1 8 17 3" xfId="6181"/>
    <cellStyle name="40% - Accent1 8 18" xfId="1872"/>
    <cellStyle name="40% - Accent1 8 18 2" xfId="1873"/>
    <cellStyle name="40% - Accent1 8 18 2 2" xfId="6184"/>
    <cellStyle name="40% - Accent1 8 18 3" xfId="6183"/>
    <cellStyle name="40% - Accent1 8 19" xfId="1874"/>
    <cellStyle name="40% - Accent1 8 19 2" xfId="6185"/>
    <cellStyle name="40% - Accent1 8 2" xfId="1875"/>
    <cellStyle name="40% - Accent1 8 2 2" xfId="1876"/>
    <cellStyle name="40% - Accent1 8 2 2 2" xfId="1877"/>
    <cellStyle name="40% - Accent1 8 2 2 2 2" xfId="6188"/>
    <cellStyle name="40% - Accent1 8 2 2 3" xfId="6187"/>
    <cellStyle name="40% - Accent1 8 2 3" xfId="1878"/>
    <cellStyle name="40% - Accent1 8 2 3 2" xfId="6189"/>
    <cellStyle name="40% - Accent1 8 2 4" xfId="6186"/>
    <cellStyle name="40% - Accent1 8 20" xfId="1879"/>
    <cellStyle name="40% - Accent1 8 20 2" xfId="6190"/>
    <cellStyle name="40% - Accent1 8 21" xfId="6166"/>
    <cellStyle name="40% - Accent1 8 3" xfId="1880"/>
    <cellStyle name="40% - Accent1 8 3 2" xfId="1881"/>
    <cellStyle name="40% - Accent1 8 3 2 2" xfId="1882"/>
    <cellStyle name="40% - Accent1 8 3 2 2 2" xfId="6193"/>
    <cellStyle name="40% - Accent1 8 3 2 3" xfId="6192"/>
    <cellStyle name="40% - Accent1 8 3 3" xfId="1883"/>
    <cellStyle name="40% - Accent1 8 3 3 2" xfId="6194"/>
    <cellStyle name="40% - Accent1 8 3 4" xfId="6191"/>
    <cellStyle name="40% - Accent1 8 4" xfId="1884"/>
    <cellStyle name="40% - Accent1 8 4 2" xfId="1885"/>
    <cellStyle name="40% - Accent1 8 4 2 2" xfId="1886"/>
    <cellStyle name="40% - Accent1 8 4 2 2 2" xfId="6197"/>
    <cellStyle name="40% - Accent1 8 4 2 3" xfId="6196"/>
    <cellStyle name="40% - Accent1 8 4 3" xfId="1887"/>
    <cellStyle name="40% - Accent1 8 4 3 2" xfId="6198"/>
    <cellStyle name="40% - Accent1 8 4 4" xfId="6195"/>
    <cellStyle name="40% - Accent1 8 5" xfId="1888"/>
    <cellStyle name="40% - Accent1 8 5 2" xfId="1889"/>
    <cellStyle name="40% - Accent1 8 5 2 2" xfId="1890"/>
    <cellStyle name="40% - Accent1 8 5 2 2 2" xfId="6201"/>
    <cellStyle name="40% - Accent1 8 5 2 3" xfId="6200"/>
    <cellStyle name="40% - Accent1 8 5 3" xfId="1891"/>
    <cellStyle name="40% - Accent1 8 5 3 2" xfId="6202"/>
    <cellStyle name="40% - Accent1 8 5 4" xfId="6199"/>
    <cellStyle name="40% - Accent1 8 6" xfId="1892"/>
    <cellStyle name="40% - Accent1 8 6 2" xfId="1893"/>
    <cellStyle name="40% - Accent1 8 6 2 2" xfId="1894"/>
    <cellStyle name="40% - Accent1 8 6 2 2 2" xfId="6205"/>
    <cellStyle name="40% - Accent1 8 6 2 3" xfId="6204"/>
    <cellStyle name="40% - Accent1 8 6 3" xfId="1895"/>
    <cellStyle name="40% - Accent1 8 6 3 2" xfId="6206"/>
    <cellStyle name="40% - Accent1 8 6 4" xfId="6203"/>
    <cellStyle name="40% - Accent1 8 7" xfId="1896"/>
    <cellStyle name="40% - Accent1 8 7 2" xfId="1897"/>
    <cellStyle name="40% - Accent1 8 7 2 2" xfId="1898"/>
    <cellStyle name="40% - Accent1 8 7 2 2 2" xfId="6209"/>
    <cellStyle name="40% - Accent1 8 7 2 3" xfId="6208"/>
    <cellStyle name="40% - Accent1 8 7 3" xfId="1899"/>
    <cellStyle name="40% - Accent1 8 7 3 2" xfId="6210"/>
    <cellStyle name="40% - Accent1 8 7 4" xfId="6207"/>
    <cellStyle name="40% - Accent1 8 8" xfId="1900"/>
    <cellStyle name="40% - Accent1 8 8 2" xfId="1901"/>
    <cellStyle name="40% - Accent1 8 8 2 2" xfId="1902"/>
    <cellStyle name="40% - Accent1 8 8 2 2 2" xfId="6213"/>
    <cellStyle name="40% - Accent1 8 8 2 3" xfId="6212"/>
    <cellStyle name="40% - Accent1 8 8 3" xfId="1903"/>
    <cellStyle name="40% - Accent1 8 8 3 2" xfId="6214"/>
    <cellStyle name="40% - Accent1 8 8 4" xfId="6211"/>
    <cellStyle name="40% - Accent1 8 9" xfId="1904"/>
    <cellStyle name="40% - Accent1 8 9 2" xfId="1905"/>
    <cellStyle name="40% - Accent1 8 9 2 2" xfId="6216"/>
    <cellStyle name="40% - Accent1 8 9 3" xfId="6215"/>
    <cellStyle name="40% - Accent2" xfId="29" builtinId="35" customBuiltin="1"/>
    <cellStyle name="40% - Accent2 2" xfId="30"/>
    <cellStyle name="40% - Accent2 2 2" xfId="31"/>
    <cellStyle name="40% - Accent2 3" xfId="32"/>
    <cellStyle name="40% - Accent2 4" xfId="1906"/>
    <cellStyle name="40% - Accent2 4 10" xfId="1907"/>
    <cellStyle name="40% - Accent2 4 10 2" xfId="1908"/>
    <cellStyle name="40% - Accent2 4 10 2 2" xfId="6219"/>
    <cellStyle name="40% - Accent2 4 10 3" xfId="6218"/>
    <cellStyle name="40% - Accent2 4 11" xfId="1909"/>
    <cellStyle name="40% - Accent2 4 11 2" xfId="1910"/>
    <cellStyle name="40% - Accent2 4 11 2 2" xfId="6221"/>
    <cellStyle name="40% - Accent2 4 11 3" xfId="6220"/>
    <cellStyle name="40% - Accent2 4 12" xfId="1911"/>
    <cellStyle name="40% - Accent2 4 12 2" xfId="1912"/>
    <cellStyle name="40% - Accent2 4 12 2 2" xfId="6223"/>
    <cellStyle name="40% - Accent2 4 12 3" xfId="6222"/>
    <cellStyle name="40% - Accent2 4 13" xfId="1913"/>
    <cellStyle name="40% - Accent2 4 13 2" xfId="1914"/>
    <cellStyle name="40% - Accent2 4 13 2 2" xfId="6225"/>
    <cellStyle name="40% - Accent2 4 13 3" xfId="6224"/>
    <cellStyle name="40% - Accent2 4 14" xfId="1915"/>
    <cellStyle name="40% - Accent2 4 14 2" xfId="1916"/>
    <cellStyle name="40% - Accent2 4 14 2 2" xfId="6227"/>
    <cellStyle name="40% - Accent2 4 14 3" xfId="6226"/>
    <cellStyle name="40% - Accent2 4 15" xfId="1917"/>
    <cellStyle name="40% - Accent2 4 15 2" xfId="1918"/>
    <cellStyle name="40% - Accent2 4 15 2 2" xfId="6229"/>
    <cellStyle name="40% - Accent2 4 15 3" xfId="6228"/>
    <cellStyle name="40% - Accent2 4 16" xfId="1919"/>
    <cellStyle name="40% - Accent2 4 16 2" xfId="1920"/>
    <cellStyle name="40% - Accent2 4 16 2 2" xfId="6231"/>
    <cellStyle name="40% - Accent2 4 16 3" xfId="6230"/>
    <cellStyle name="40% - Accent2 4 17" xfId="1921"/>
    <cellStyle name="40% - Accent2 4 17 2" xfId="1922"/>
    <cellStyle name="40% - Accent2 4 17 2 2" xfId="6233"/>
    <cellStyle name="40% - Accent2 4 17 3" xfId="6232"/>
    <cellStyle name="40% - Accent2 4 18" xfId="1923"/>
    <cellStyle name="40% - Accent2 4 18 2" xfId="1924"/>
    <cellStyle name="40% - Accent2 4 18 2 2" xfId="6235"/>
    <cellStyle name="40% - Accent2 4 18 3" xfId="6234"/>
    <cellStyle name="40% - Accent2 4 19" xfId="1925"/>
    <cellStyle name="40% - Accent2 4 19 2" xfId="6236"/>
    <cellStyle name="40% - Accent2 4 2" xfId="1926"/>
    <cellStyle name="40% - Accent2 4 2 2" xfId="1927"/>
    <cellStyle name="40% - Accent2 4 2 2 2" xfId="1928"/>
    <cellStyle name="40% - Accent2 4 2 2 2 2" xfId="6239"/>
    <cellStyle name="40% - Accent2 4 2 2 3" xfId="6238"/>
    <cellStyle name="40% - Accent2 4 2 3" xfId="1929"/>
    <cellStyle name="40% - Accent2 4 2 3 2" xfId="6240"/>
    <cellStyle name="40% - Accent2 4 2 4" xfId="6237"/>
    <cellStyle name="40% - Accent2 4 20" xfId="1930"/>
    <cellStyle name="40% - Accent2 4 20 2" xfId="6241"/>
    <cellStyle name="40% - Accent2 4 21" xfId="6217"/>
    <cellStyle name="40% - Accent2 4 3" xfId="1931"/>
    <cellStyle name="40% - Accent2 4 3 2" xfId="1932"/>
    <cellStyle name="40% - Accent2 4 3 2 2" xfId="1933"/>
    <cellStyle name="40% - Accent2 4 3 2 2 2" xfId="6244"/>
    <cellStyle name="40% - Accent2 4 3 2 3" xfId="6243"/>
    <cellStyle name="40% - Accent2 4 3 3" xfId="1934"/>
    <cellStyle name="40% - Accent2 4 3 3 2" xfId="6245"/>
    <cellStyle name="40% - Accent2 4 3 4" xfId="6242"/>
    <cellStyle name="40% - Accent2 4 4" xfId="1935"/>
    <cellStyle name="40% - Accent2 4 4 2" xfId="1936"/>
    <cellStyle name="40% - Accent2 4 4 2 2" xfId="1937"/>
    <cellStyle name="40% - Accent2 4 4 2 2 2" xfId="6248"/>
    <cellStyle name="40% - Accent2 4 4 2 3" xfId="6247"/>
    <cellStyle name="40% - Accent2 4 4 3" xfId="1938"/>
    <cellStyle name="40% - Accent2 4 4 3 2" xfId="6249"/>
    <cellStyle name="40% - Accent2 4 4 4" xfId="6246"/>
    <cellStyle name="40% - Accent2 4 5" xfId="1939"/>
    <cellStyle name="40% - Accent2 4 5 2" xfId="1940"/>
    <cellStyle name="40% - Accent2 4 5 2 2" xfId="1941"/>
    <cellStyle name="40% - Accent2 4 5 2 2 2" xfId="6252"/>
    <cellStyle name="40% - Accent2 4 5 2 3" xfId="6251"/>
    <cellStyle name="40% - Accent2 4 5 3" xfId="1942"/>
    <cellStyle name="40% - Accent2 4 5 3 2" xfId="6253"/>
    <cellStyle name="40% - Accent2 4 5 4" xfId="6250"/>
    <cellStyle name="40% - Accent2 4 6" xfId="1943"/>
    <cellStyle name="40% - Accent2 4 6 2" xfId="1944"/>
    <cellStyle name="40% - Accent2 4 6 2 2" xfId="1945"/>
    <cellStyle name="40% - Accent2 4 6 2 2 2" xfId="6256"/>
    <cellStyle name="40% - Accent2 4 6 2 3" xfId="6255"/>
    <cellStyle name="40% - Accent2 4 6 3" xfId="1946"/>
    <cellStyle name="40% - Accent2 4 6 3 2" xfId="6257"/>
    <cellStyle name="40% - Accent2 4 6 4" xfId="6254"/>
    <cellStyle name="40% - Accent2 4 7" xfId="1947"/>
    <cellStyle name="40% - Accent2 4 7 2" xfId="1948"/>
    <cellStyle name="40% - Accent2 4 7 2 2" xfId="1949"/>
    <cellStyle name="40% - Accent2 4 7 2 2 2" xfId="6260"/>
    <cellStyle name="40% - Accent2 4 7 2 3" xfId="6259"/>
    <cellStyle name="40% - Accent2 4 7 3" xfId="1950"/>
    <cellStyle name="40% - Accent2 4 7 3 2" xfId="6261"/>
    <cellStyle name="40% - Accent2 4 7 4" xfId="6258"/>
    <cellStyle name="40% - Accent2 4 8" xfId="1951"/>
    <cellStyle name="40% - Accent2 4 8 2" xfId="1952"/>
    <cellStyle name="40% - Accent2 4 8 2 2" xfId="1953"/>
    <cellStyle name="40% - Accent2 4 8 2 2 2" xfId="6264"/>
    <cellStyle name="40% - Accent2 4 8 2 3" xfId="6263"/>
    <cellStyle name="40% - Accent2 4 8 3" xfId="1954"/>
    <cellStyle name="40% - Accent2 4 8 3 2" xfId="6265"/>
    <cellStyle name="40% - Accent2 4 8 4" xfId="6262"/>
    <cellStyle name="40% - Accent2 4 9" xfId="1955"/>
    <cellStyle name="40% - Accent2 4 9 2" xfId="1956"/>
    <cellStyle name="40% - Accent2 4 9 2 2" xfId="6267"/>
    <cellStyle name="40% - Accent2 4 9 3" xfId="6266"/>
    <cellStyle name="40% - Accent2 5" xfId="1957"/>
    <cellStyle name="40% - Accent2 5 10" xfId="1958"/>
    <cellStyle name="40% - Accent2 5 10 2" xfId="1959"/>
    <cellStyle name="40% - Accent2 5 10 2 2" xfId="6270"/>
    <cellStyle name="40% - Accent2 5 10 3" xfId="6269"/>
    <cellStyle name="40% - Accent2 5 11" xfId="1960"/>
    <cellStyle name="40% - Accent2 5 11 2" xfId="1961"/>
    <cellStyle name="40% - Accent2 5 11 2 2" xfId="6272"/>
    <cellStyle name="40% - Accent2 5 11 3" xfId="6271"/>
    <cellStyle name="40% - Accent2 5 12" xfId="1962"/>
    <cellStyle name="40% - Accent2 5 12 2" xfId="1963"/>
    <cellStyle name="40% - Accent2 5 12 2 2" xfId="6274"/>
    <cellStyle name="40% - Accent2 5 12 3" xfId="6273"/>
    <cellStyle name="40% - Accent2 5 13" xfId="1964"/>
    <cellStyle name="40% - Accent2 5 13 2" xfId="1965"/>
    <cellStyle name="40% - Accent2 5 13 2 2" xfId="6276"/>
    <cellStyle name="40% - Accent2 5 13 3" xfId="6275"/>
    <cellStyle name="40% - Accent2 5 14" xfId="1966"/>
    <cellStyle name="40% - Accent2 5 14 2" xfId="1967"/>
    <cellStyle name="40% - Accent2 5 14 2 2" xfId="6278"/>
    <cellStyle name="40% - Accent2 5 14 3" xfId="6277"/>
    <cellStyle name="40% - Accent2 5 15" xfId="1968"/>
    <cellStyle name="40% - Accent2 5 15 2" xfId="1969"/>
    <cellStyle name="40% - Accent2 5 15 2 2" xfId="6280"/>
    <cellStyle name="40% - Accent2 5 15 3" xfId="6279"/>
    <cellStyle name="40% - Accent2 5 16" xfId="1970"/>
    <cellStyle name="40% - Accent2 5 16 2" xfId="1971"/>
    <cellStyle name="40% - Accent2 5 16 2 2" xfId="6282"/>
    <cellStyle name="40% - Accent2 5 16 3" xfId="6281"/>
    <cellStyle name="40% - Accent2 5 17" xfId="1972"/>
    <cellStyle name="40% - Accent2 5 17 2" xfId="1973"/>
    <cellStyle name="40% - Accent2 5 17 2 2" xfId="6284"/>
    <cellStyle name="40% - Accent2 5 17 3" xfId="6283"/>
    <cellStyle name="40% - Accent2 5 18" xfId="1974"/>
    <cellStyle name="40% - Accent2 5 18 2" xfId="1975"/>
    <cellStyle name="40% - Accent2 5 18 2 2" xfId="6286"/>
    <cellStyle name="40% - Accent2 5 18 3" xfId="6285"/>
    <cellStyle name="40% - Accent2 5 19" xfId="1976"/>
    <cellStyle name="40% - Accent2 5 19 2" xfId="6287"/>
    <cellStyle name="40% - Accent2 5 2" xfId="1977"/>
    <cellStyle name="40% - Accent2 5 2 2" xfId="1978"/>
    <cellStyle name="40% - Accent2 5 2 2 2" xfId="1979"/>
    <cellStyle name="40% - Accent2 5 2 2 2 2" xfId="6290"/>
    <cellStyle name="40% - Accent2 5 2 2 3" xfId="6289"/>
    <cellStyle name="40% - Accent2 5 2 3" xfId="1980"/>
    <cellStyle name="40% - Accent2 5 2 3 2" xfId="6291"/>
    <cellStyle name="40% - Accent2 5 2 4" xfId="6288"/>
    <cellStyle name="40% - Accent2 5 20" xfId="1981"/>
    <cellStyle name="40% - Accent2 5 20 2" xfId="6292"/>
    <cellStyle name="40% - Accent2 5 21" xfId="6268"/>
    <cellStyle name="40% - Accent2 5 3" xfId="1982"/>
    <cellStyle name="40% - Accent2 5 3 2" xfId="1983"/>
    <cellStyle name="40% - Accent2 5 3 2 2" xfId="1984"/>
    <cellStyle name="40% - Accent2 5 3 2 2 2" xfId="6295"/>
    <cellStyle name="40% - Accent2 5 3 2 3" xfId="6294"/>
    <cellStyle name="40% - Accent2 5 3 3" xfId="1985"/>
    <cellStyle name="40% - Accent2 5 3 3 2" xfId="6296"/>
    <cellStyle name="40% - Accent2 5 3 4" xfId="6293"/>
    <cellStyle name="40% - Accent2 5 4" xfId="1986"/>
    <cellStyle name="40% - Accent2 5 4 2" xfId="1987"/>
    <cellStyle name="40% - Accent2 5 4 2 2" xfId="1988"/>
    <cellStyle name="40% - Accent2 5 4 2 2 2" xfId="6299"/>
    <cellStyle name="40% - Accent2 5 4 2 3" xfId="6298"/>
    <cellStyle name="40% - Accent2 5 4 3" xfId="1989"/>
    <cellStyle name="40% - Accent2 5 4 3 2" xfId="6300"/>
    <cellStyle name="40% - Accent2 5 4 4" xfId="6297"/>
    <cellStyle name="40% - Accent2 5 5" xfId="1990"/>
    <cellStyle name="40% - Accent2 5 5 2" xfId="1991"/>
    <cellStyle name="40% - Accent2 5 5 2 2" xfId="1992"/>
    <cellStyle name="40% - Accent2 5 5 2 2 2" xfId="6303"/>
    <cellStyle name="40% - Accent2 5 5 2 3" xfId="6302"/>
    <cellStyle name="40% - Accent2 5 5 3" xfId="1993"/>
    <cellStyle name="40% - Accent2 5 5 3 2" xfId="6304"/>
    <cellStyle name="40% - Accent2 5 5 4" xfId="6301"/>
    <cellStyle name="40% - Accent2 5 6" xfId="1994"/>
    <cellStyle name="40% - Accent2 5 6 2" xfId="1995"/>
    <cellStyle name="40% - Accent2 5 6 2 2" xfId="1996"/>
    <cellStyle name="40% - Accent2 5 6 2 2 2" xfId="6307"/>
    <cellStyle name="40% - Accent2 5 6 2 3" xfId="6306"/>
    <cellStyle name="40% - Accent2 5 6 3" xfId="1997"/>
    <cellStyle name="40% - Accent2 5 6 3 2" xfId="6308"/>
    <cellStyle name="40% - Accent2 5 6 4" xfId="6305"/>
    <cellStyle name="40% - Accent2 5 7" xfId="1998"/>
    <cellStyle name="40% - Accent2 5 7 2" xfId="1999"/>
    <cellStyle name="40% - Accent2 5 7 2 2" xfId="2000"/>
    <cellStyle name="40% - Accent2 5 7 2 2 2" xfId="6311"/>
    <cellStyle name="40% - Accent2 5 7 2 3" xfId="6310"/>
    <cellStyle name="40% - Accent2 5 7 3" xfId="2001"/>
    <cellStyle name="40% - Accent2 5 7 3 2" xfId="6312"/>
    <cellStyle name="40% - Accent2 5 7 4" xfId="6309"/>
    <cellStyle name="40% - Accent2 5 8" xfId="2002"/>
    <cellStyle name="40% - Accent2 5 8 2" xfId="2003"/>
    <cellStyle name="40% - Accent2 5 8 2 2" xfId="2004"/>
    <cellStyle name="40% - Accent2 5 8 2 2 2" xfId="6315"/>
    <cellStyle name="40% - Accent2 5 8 2 3" xfId="6314"/>
    <cellStyle name="40% - Accent2 5 8 3" xfId="2005"/>
    <cellStyle name="40% - Accent2 5 8 3 2" xfId="6316"/>
    <cellStyle name="40% - Accent2 5 8 4" xfId="6313"/>
    <cellStyle name="40% - Accent2 5 9" xfId="2006"/>
    <cellStyle name="40% - Accent2 5 9 2" xfId="2007"/>
    <cellStyle name="40% - Accent2 5 9 2 2" xfId="6318"/>
    <cellStyle name="40% - Accent2 5 9 3" xfId="6317"/>
    <cellStyle name="40% - Accent2 6" xfId="2008"/>
    <cellStyle name="40% - Accent2 6 10" xfId="2009"/>
    <cellStyle name="40% - Accent2 6 10 2" xfId="2010"/>
    <cellStyle name="40% - Accent2 6 10 2 2" xfId="6321"/>
    <cellStyle name="40% - Accent2 6 10 3" xfId="6320"/>
    <cellStyle name="40% - Accent2 6 11" xfId="2011"/>
    <cellStyle name="40% - Accent2 6 11 2" xfId="2012"/>
    <cellStyle name="40% - Accent2 6 11 2 2" xfId="6323"/>
    <cellStyle name="40% - Accent2 6 11 3" xfId="6322"/>
    <cellStyle name="40% - Accent2 6 12" xfId="2013"/>
    <cellStyle name="40% - Accent2 6 12 2" xfId="2014"/>
    <cellStyle name="40% - Accent2 6 12 2 2" xfId="6325"/>
    <cellStyle name="40% - Accent2 6 12 3" xfId="6324"/>
    <cellStyle name="40% - Accent2 6 13" xfId="2015"/>
    <cellStyle name="40% - Accent2 6 13 2" xfId="2016"/>
    <cellStyle name="40% - Accent2 6 13 2 2" xfId="6327"/>
    <cellStyle name="40% - Accent2 6 13 3" xfId="6326"/>
    <cellStyle name="40% - Accent2 6 14" xfId="2017"/>
    <cellStyle name="40% - Accent2 6 14 2" xfId="2018"/>
    <cellStyle name="40% - Accent2 6 14 2 2" xfId="6329"/>
    <cellStyle name="40% - Accent2 6 14 3" xfId="6328"/>
    <cellStyle name="40% - Accent2 6 15" xfId="2019"/>
    <cellStyle name="40% - Accent2 6 15 2" xfId="2020"/>
    <cellStyle name="40% - Accent2 6 15 2 2" xfId="6331"/>
    <cellStyle name="40% - Accent2 6 15 3" xfId="6330"/>
    <cellStyle name="40% - Accent2 6 16" xfId="2021"/>
    <cellStyle name="40% - Accent2 6 16 2" xfId="2022"/>
    <cellStyle name="40% - Accent2 6 16 2 2" xfId="6333"/>
    <cellStyle name="40% - Accent2 6 16 3" xfId="6332"/>
    <cellStyle name="40% - Accent2 6 17" xfId="2023"/>
    <cellStyle name="40% - Accent2 6 17 2" xfId="2024"/>
    <cellStyle name="40% - Accent2 6 17 2 2" xfId="6335"/>
    <cellStyle name="40% - Accent2 6 17 3" xfId="6334"/>
    <cellStyle name="40% - Accent2 6 18" xfId="2025"/>
    <cellStyle name="40% - Accent2 6 18 2" xfId="2026"/>
    <cellStyle name="40% - Accent2 6 18 2 2" xfId="6337"/>
    <cellStyle name="40% - Accent2 6 18 3" xfId="6336"/>
    <cellStyle name="40% - Accent2 6 19" xfId="2027"/>
    <cellStyle name="40% - Accent2 6 19 2" xfId="6338"/>
    <cellStyle name="40% - Accent2 6 2" xfId="2028"/>
    <cellStyle name="40% - Accent2 6 2 2" xfId="2029"/>
    <cellStyle name="40% - Accent2 6 2 2 2" xfId="2030"/>
    <cellStyle name="40% - Accent2 6 2 2 2 2" xfId="6341"/>
    <cellStyle name="40% - Accent2 6 2 2 3" xfId="6340"/>
    <cellStyle name="40% - Accent2 6 2 3" xfId="2031"/>
    <cellStyle name="40% - Accent2 6 2 3 2" xfId="6342"/>
    <cellStyle name="40% - Accent2 6 2 4" xfId="6339"/>
    <cellStyle name="40% - Accent2 6 20" xfId="2032"/>
    <cellStyle name="40% - Accent2 6 20 2" xfId="6343"/>
    <cellStyle name="40% - Accent2 6 21" xfId="6319"/>
    <cellStyle name="40% - Accent2 6 3" xfId="2033"/>
    <cellStyle name="40% - Accent2 6 3 2" xfId="2034"/>
    <cellStyle name="40% - Accent2 6 3 2 2" xfId="2035"/>
    <cellStyle name="40% - Accent2 6 3 2 2 2" xfId="6346"/>
    <cellStyle name="40% - Accent2 6 3 2 3" xfId="6345"/>
    <cellStyle name="40% - Accent2 6 3 3" xfId="2036"/>
    <cellStyle name="40% - Accent2 6 3 3 2" xfId="6347"/>
    <cellStyle name="40% - Accent2 6 3 4" xfId="6344"/>
    <cellStyle name="40% - Accent2 6 4" xfId="2037"/>
    <cellStyle name="40% - Accent2 6 4 2" xfId="2038"/>
    <cellStyle name="40% - Accent2 6 4 2 2" xfId="2039"/>
    <cellStyle name="40% - Accent2 6 4 2 2 2" xfId="6350"/>
    <cellStyle name="40% - Accent2 6 4 2 3" xfId="6349"/>
    <cellStyle name="40% - Accent2 6 4 3" xfId="2040"/>
    <cellStyle name="40% - Accent2 6 4 3 2" xfId="6351"/>
    <cellStyle name="40% - Accent2 6 4 4" xfId="6348"/>
    <cellStyle name="40% - Accent2 6 5" xfId="2041"/>
    <cellStyle name="40% - Accent2 6 5 2" xfId="2042"/>
    <cellStyle name="40% - Accent2 6 5 2 2" xfId="2043"/>
    <cellStyle name="40% - Accent2 6 5 2 2 2" xfId="6354"/>
    <cellStyle name="40% - Accent2 6 5 2 3" xfId="6353"/>
    <cellStyle name="40% - Accent2 6 5 3" xfId="2044"/>
    <cellStyle name="40% - Accent2 6 5 3 2" xfId="6355"/>
    <cellStyle name="40% - Accent2 6 5 4" xfId="6352"/>
    <cellStyle name="40% - Accent2 6 6" xfId="2045"/>
    <cellStyle name="40% - Accent2 6 6 2" xfId="2046"/>
    <cellStyle name="40% - Accent2 6 6 2 2" xfId="2047"/>
    <cellStyle name="40% - Accent2 6 6 2 2 2" xfId="6358"/>
    <cellStyle name="40% - Accent2 6 6 2 3" xfId="6357"/>
    <cellStyle name="40% - Accent2 6 6 3" xfId="2048"/>
    <cellStyle name="40% - Accent2 6 6 3 2" xfId="6359"/>
    <cellStyle name="40% - Accent2 6 6 4" xfId="6356"/>
    <cellStyle name="40% - Accent2 6 7" xfId="2049"/>
    <cellStyle name="40% - Accent2 6 7 2" xfId="2050"/>
    <cellStyle name="40% - Accent2 6 7 2 2" xfId="2051"/>
    <cellStyle name="40% - Accent2 6 7 2 2 2" xfId="6362"/>
    <cellStyle name="40% - Accent2 6 7 2 3" xfId="6361"/>
    <cellStyle name="40% - Accent2 6 7 3" xfId="2052"/>
    <cellStyle name="40% - Accent2 6 7 3 2" xfId="6363"/>
    <cellStyle name="40% - Accent2 6 7 4" xfId="6360"/>
    <cellStyle name="40% - Accent2 6 8" xfId="2053"/>
    <cellStyle name="40% - Accent2 6 8 2" xfId="2054"/>
    <cellStyle name="40% - Accent2 6 8 2 2" xfId="2055"/>
    <cellStyle name="40% - Accent2 6 8 2 2 2" xfId="6366"/>
    <cellStyle name="40% - Accent2 6 8 2 3" xfId="6365"/>
    <cellStyle name="40% - Accent2 6 8 3" xfId="2056"/>
    <cellStyle name="40% - Accent2 6 8 3 2" xfId="6367"/>
    <cellStyle name="40% - Accent2 6 8 4" xfId="6364"/>
    <cellStyle name="40% - Accent2 6 9" xfId="2057"/>
    <cellStyle name="40% - Accent2 6 9 2" xfId="2058"/>
    <cellStyle name="40% - Accent2 6 9 2 2" xfId="6369"/>
    <cellStyle name="40% - Accent2 6 9 3" xfId="6368"/>
    <cellStyle name="40% - Accent2 7" xfId="2059"/>
    <cellStyle name="40% - Accent2 7 10" xfId="2060"/>
    <cellStyle name="40% - Accent2 7 10 2" xfId="2061"/>
    <cellStyle name="40% - Accent2 7 10 2 2" xfId="6372"/>
    <cellStyle name="40% - Accent2 7 10 3" xfId="6371"/>
    <cellStyle name="40% - Accent2 7 11" xfId="2062"/>
    <cellStyle name="40% - Accent2 7 11 2" xfId="2063"/>
    <cellStyle name="40% - Accent2 7 11 2 2" xfId="6374"/>
    <cellStyle name="40% - Accent2 7 11 3" xfId="6373"/>
    <cellStyle name="40% - Accent2 7 12" xfId="2064"/>
    <cellStyle name="40% - Accent2 7 12 2" xfId="2065"/>
    <cellStyle name="40% - Accent2 7 12 2 2" xfId="6376"/>
    <cellStyle name="40% - Accent2 7 12 3" xfId="6375"/>
    <cellStyle name="40% - Accent2 7 13" xfId="2066"/>
    <cellStyle name="40% - Accent2 7 13 2" xfId="2067"/>
    <cellStyle name="40% - Accent2 7 13 2 2" xfId="6378"/>
    <cellStyle name="40% - Accent2 7 13 3" xfId="6377"/>
    <cellStyle name="40% - Accent2 7 14" xfId="2068"/>
    <cellStyle name="40% - Accent2 7 14 2" xfId="2069"/>
    <cellStyle name="40% - Accent2 7 14 2 2" xfId="6380"/>
    <cellStyle name="40% - Accent2 7 14 3" xfId="6379"/>
    <cellStyle name="40% - Accent2 7 15" xfId="2070"/>
    <cellStyle name="40% - Accent2 7 15 2" xfId="2071"/>
    <cellStyle name="40% - Accent2 7 15 2 2" xfId="6382"/>
    <cellStyle name="40% - Accent2 7 15 3" xfId="6381"/>
    <cellStyle name="40% - Accent2 7 16" xfId="2072"/>
    <cellStyle name="40% - Accent2 7 16 2" xfId="2073"/>
    <cellStyle name="40% - Accent2 7 16 2 2" xfId="6384"/>
    <cellStyle name="40% - Accent2 7 16 3" xfId="6383"/>
    <cellStyle name="40% - Accent2 7 17" xfId="2074"/>
    <cellStyle name="40% - Accent2 7 17 2" xfId="2075"/>
    <cellStyle name="40% - Accent2 7 17 2 2" xfId="6386"/>
    <cellStyle name="40% - Accent2 7 17 3" xfId="6385"/>
    <cellStyle name="40% - Accent2 7 18" xfId="2076"/>
    <cellStyle name="40% - Accent2 7 18 2" xfId="2077"/>
    <cellStyle name="40% - Accent2 7 18 2 2" xfId="6388"/>
    <cellStyle name="40% - Accent2 7 18 3" xfId="6387"/>
    <cellStyle name="40% - Accent2 7 19" xfId="2078"/>
    <cellStyle name="40% - Accent2 7 19 2" xfId="6389"/>
    <cellStyle name="40% - Accent2 7 2" xfId="2079"/>
    <cellStyle name="40% - Accent2 7 2 2" xfId="2080"/>
    <cellStyle name="40% - Accent2 7 2 2 2" xfId="2081"/>
    <cellStyle name="40% - Accent2 7 2 2 2 2" xfId="6392"/>
    <cellStyle name="40% - Accent2 7 2 2 3" xfId="6391"/>
    <cellStyle name="40% - Accent2 7 2 3" xfId="2082"/>
    <cellStyle name="40% - Accent2 7 2 3 2" xfId="6393"/>
    <cellStyle name="40% - Accent2 7 2 4" xfId="6390"/>
    <cellStyle name="40% - Accent2 7 20" xfId="2083"/>
    <cellStyle name="40% - Accent2 7 20 2" xfId="6394"/>
    <cellStyle name="40% - Accent2 7 21" xfId="6370"/>
    <cellStyle name="40% - Accent2 7 3" xfId="2084"/>
    <cellStyle name="40% - Accent2 7 3 2" xfId="2085"/>
    <cellStyle name="40% - Accent2 7 3 2 2" xfId="2086"/>
    <cellStyle name="40% - Accent2 7 3 2 2 2" xfId="6397"/>
    <cellStyle name="40% - Accent2 7 3 2 3" xfId="6396"/>
    <cellStyle name="40% - Accent2 7 3 3" xfId="2087"/>
    <cellStyle name="40% - Accent2 7 3 3 2" xfId="6398"/>
    <cellStyle name="40% - Accent2 7 3 4" xfId="6395"/>
    <cellStyle name="40% - Accent2 7 4" xfId="2088"/>
    <cellStyle name="40% - Accent2 7 4 2" xfId="2089"/>
    <cellStyle name="40% - Accent2 7 4 2 2" xfId="2090"/>
    <cellStyle name="40% - Accent2 7 4 2 2 2" xfId="6401"/>
    <cellStyle name="40% - Accent2 7 4 2 3" xfId="6400"/>
    <cellStyle name="40% - Accent2 7 4 3" xfId="2091"/>
    <cellStyle name="40% - Accent2 7 4 3 2" xfId="6402"/>
    <cellStyle name="40% - Accent2 7 4 4" xfId="6399"/>
    <cellStyle name="40% - Accent2 7 5" xfId="2092"/>
    <cellStyle name="40% - Accent2 7 5 2" xfId="2093"/>
    <cellStyle name="40% - Accent2 7 5 2 2" xfId="2094"/>
    <cellStyle name="40% - Accent2 7 5 2 2 2" xfId="6405"/>
    <cellStyle name="40% - Accent2 7 5 2 3" xfId="6404"/>
    <cellStyle name="40% - Accent2 7 5 3" xfId="2095"/>
    <cellStyle name="40% - Accent2 7 5 3 2" xfId="6406"/>
    <cellStyle name="40% - Accent2 7 5 4" xfId="6403"/>
    <cellStyle name="40% - Accent2 7 6" xfId="2096"/>
    <cellStyle name="40% - Accent2 7 6 2" xfId="2097"/>
    <cellStyle name="40% - Accent2 7 6 2 2" xfId="2098"/>
    <cellStyle name="40% - Accent2 7 6 2 2 2" xfId="6409"/>
    <cellStyle name="40% - Accent2 7 6 2 3" xfId="6408"/>
    <cellStyle name="40% - Accent2 7 6 3" xfId="2099"/>
    <cellStyle name="40% - Accent2 7 6 3 2" xfId="6410"/>
    <cellStyle name="40% - Accent2 7 6 4" xfId="6407"/>
    <cellStyle name="40% - Accent2 7 7" xfId="2100"/>
    <cellStyle name="40% - Accent2 7 7 2" xfId="2101"/>
    <cellStyle name="40% - Accent2 7 7 2 2" xfId="2102"/>
    <cellStyle name="40% - Accent2 7 7 2 2 2" xfId="6413"/>
    <cellStyle name="40% - Accent2 7 7 2 3" xfId="6412"/>
    <cellStyle name="40% - Accent2 7 7 3" xfId="2103"/>
    <cellStyle name="40% - Accent2 7 7 3 2" xfId="6414"/>
    <cellStyle name="40% - Accent2 7 7 4" xfId="6411"/>
    <cellStyle name="40% - Accent2 7 8" xfId="2104"/>
    <cellStyle name="40% - Accent2 7 8 2" xfId="2105"/>
    <cellStyle name="40% - Accent2 7 8 2 2" xfId="2106"/>
    <cellStyle name="40% - Accent2 7 8 2 2 2" xfId="6417"/>
    <cellStyle name="40% - Accent2 7 8 2 3" xfId="6416"/>
    <cellStyle name="40% - Accent2 7 8 3" xfId="2107"/>
    <cellStyle name="40% - Accent2 7 8 3 2" xfId="6418"/>
    <cellStyle name="40% - Accent2 7 8 4" xfId="6415"/>
    <cellStyle name="40% - Accent2 7 9" xfId="2108"/>
    <cellStyle name="40% - Accent2 7 9 2" xfId="2109"/>
    <cellStyle name="40% - Accent2 7 9 2 2" xfId="6420"/>
    <cellStyle name="40% - Accent2 7 9 3" xfId="6419"/>
    <cellStyle name="40% - Accent2 8" xfId="2110"/>
    <cellStyle name="40% - Accent2 8 10" xfId="2111"/>
    <cellStyle name="40% - Accent2 8 10 2" xfId="2112"/>
    <cellStyle name="40% - Accent2 8 10 2 2" xfId="6423"/>
    <cellStyle name="40% - Accent2 8 10 3" xfId="6422"/>
    <cellStyle name="40% - Accent2 8 11" xfId="2113"/>
    <cellStyle name="40% - Accent2 8 11 2" xfId="2114"/>
    <cellStyle name="40% - Accent2 8 11 2 2" xfId="6425"/>
    <cellStyle name="40% - Accent2 8 11 3" xfId="6424"/>
    <cellStyle name="40% - Accent2 8 12" xfId="2115"/>
    <cellStyle name="40% - Accent2 8 12 2" xfId="2116"/>
    <cellStyle name="40% - Accent2 8 12 2 2" xfId="6427"/>
    <cellStyle name="40% - Accent2 8 12 3" xfId="6426"/>
    <cellStyle name="40% - Accent2 8 13" xfId="2117"/>
    <cellStyle name="40% - Accent2 8 13 2" xfId="2118"/>
    <cellStyle name="40% - Accent2 8 13 2 2" xfId="6429"/>
    <cellStyle name="40% - Accent2 8 13 3" xfId="6428"/>
    <cellStyle name="40% - Accent2 8 14" xfId="2119"/>
    <cellStyle name="40% - Accent2 8 14 2" xfId="2120"/>
    <cellStyle name="40% - Accent2 8 14 2 2" xfId="6431"/>
    <cellStyle name="40% - Accent2 8 14 3" xfId="6430"/>
    <cellStyle name="40% - Accent2 8 15" xfId="2121"/>
    <cellStyle name="40% - Accent2 8 15 2" xfId="2122"/>
    <cellStyle name="40% - Accent2 8 15 2 2" xfId="6433"/>
    <cellStyle name="40% - Accent2 8 15 3" xfId="6432"/>
    <cellStyle name="40% - Accent2 8 16" xfId="2123"/>
    <cellStyle name="40% - Accent2 8 16 2" xfId="2124"/>
    <cellStyle name="40% - Accent2 8 16 2 2" xfId="6435"/>
    <cellStyle name="40% - Accent2 8 16 3" xfId="6434"/>
    <cellStyle name="40% - Accent2 8 17" xfId="2125"/>
    <cellStyle name="40% - Accent2 8 17 2" xfId="2126"/>
    <cellStyle name="40% - Accent2 8 17 2 2" xfId="6437"/>
    <cellStyle name="40% - Accent2 8 17 3" xfId="6436"/>
    <cellStyle name="40% - Accent2 8 18" xfId="2127"/>
    <cellStyle name="40% - Accent2 8 18 2" xfId="2128"/>
    <cellStyle name="40% - Accent2 8 18 2 2" xfId="6439"/>
    <cellStyle name="40% - Accent2 8 18 3" xfId="6438"/>
    <cellStyle name="40% - Accent2 8 19" xfId="2129"/>
    <cellStyle name="40% - Accent2 8 19 2" xfId="6440"/>
    <cellStyle name="40% - Accent2 8 2" xfId="2130"/>
    <cellStyle name="40% - Accent2 8 2 2" xfId="2131"/>
    <cellStyle name="40% - Accent2 8 2 2 2" xfId="2132"/>
    <cellStyle name="40% - Accent2 8 2 2 2 2" xfId="6443"/>
    <cellStyle name="40% - Accent2 8 2 2 3" xfId="6442"/>
    <cellStyle name="40% - Accent2 8 2 3" xfId="2133"/>
    <cellStyle name="40% - Accent2 8 2 3 2" xfId="6444"/>
    <cellStyle name="40% - Accent2 8 2 4" xfId="6441"/>
    <cellStyle name="40% - Accent2 8 20" xfId="2134"/>
    <cellStyle name="40% - Accent2 8 20 2" xfId="6445"/>
    <cellStyle name="40% - Accent2 8 21" xfId="6421"/>
    <cellStyle name="40% - Accent2 8 3" xfId="2135"/>
    <cellStyle name="40% - Accent2 8 3 2" xfId="2136"/>
    <cellStyle name="40% - Accent2 8 3 2 2" xfId="2137"/>
    <cellStyle name="40% - Accent2 8 3 2 2 2" xfId="6448"/>
    <cellStyle name="40% - Accent2 8 3 2 3" xfId="6447"/>
    <cellStyle name="40% - Accent2 8 3 3" xfId="2138"/>
    <cellStyle name="40% - Accent2 8 3 3 2" xfId="6449"/>
    <cellStyle name="40% - Accent2 8 3 4" xfId="6446"/>
    <cellStyle name="40% - Accent2 8 4" xfId="2139"/>
    <cellStyle name="40% - Accent2 8 4 2" xfId="2140"/>
    <cellStyle name="40% - Accent2 8 4 2 2" xfId="2141"/>
    <cellStyle name="40% - Accent2 8 4 2 2 2" xfId="6452"/>
    <cellStyle name="40% - Accent2 8 4 2 3" xfId="6451"/>
    <cellStyle name="40% - Accent2 8 4 3" xfId="2142"/>
    <cellStyle name="40% - Accent2 8 4 3 2" xfId="6453"/>
    <cellStyle name="40% - Accent2 8 4 4" xfId="6450"/>
    <cellStyle name="40% - Accent2 8 5" xfId="2143"/>
    <cellStyle name="40% - Accent2 8 5 2" xfId="2144"/>
    <cellStyle name="40% - Accent2 8 5 2 2" xfId="2145"/>
    <cellStyle name="40% - Accent2 8 5 2 2 2" xfId="6456"/>
    <cellStyle name="40% - Accent2 8 5 2 3" xfId="6455"/>
    <cellStyle name="40% - Accent2 8 5 3" xfId="2146"/>
    <cellStyle name="40% - Accent2 8 5 3 2" xfId="6457"/>
    <cellStyle name="40% - Accent2 8 5 4" xfId="6454"/>
    <cellStyle name="40% - Accent2 8 6" xfId="2147"/>
    <cellStyle name="40% - Accent2 8 6 2" xfId="2148"/>
    <cellStyle name="40% - Accent2 8 6 2 2" xfId="2149"/>
    <cellStyle name="40% - Accent2 8 6 2 2 2" xfId="6460"/>
    <cellStyle name="40% - Accent2 8 6 2 3" xfId="6459"/>
    <cellStyle name="40% - Accent2 8 6 3" xfId="2150"/>
    <cellStyle name="40% - Accent2 8 6 3 2" xfId="6461"/>
    <cellStyle name="40% - Accent2 8 6 4" xfId="6458"/>
    <cellStyle name="40% - Accent2 8 7" xfId="2151"/>
    <cellStyle name="40% - Accent2 8 7 2" xfId="2152"/>
    <cellStyle name="40% - Accent2 8 7 2 2" xfId="2153"/>
    <cellStyle name="40% - Accent2 8 7 2 2 2" xfId="6464"/>
    <cellStyle name="40% - Accent2 8 7 2 3" xfId="6463"/>
    <cellStyle name="40% - Accent2 8 7 3" xfId="2154"/>
    <cellStyle name="40% - Accent2 8 7 3 2" xfId="6465"/>
    <cellStyle name="40% - Accent2 8 7 4" xfId="6462"/>
    <cellStyle name="40% - Accent2 8 8" xfId="2155"/>
    <cellStyle name="40% - Accent2 8 8 2" xfId="2156"/>
    <cellStyle name="40% - Accent2 8 8 2 2" xfId="2157"/>
    <cellStyle name="40% - Accent2 8 8 2 2 2" xfId="6468"/>
    <cellStyle name="40% - Accent2 8 8 2 3" xfId="6467"/>
    <cellStyle name="40% - Accent2 8 8 3" xfId="2158"/>
    <cellStyle name="40% - Accent2 8 8 3 2" xfId="6469"/>
    <cellStyle name="40% - Accent2 8 8 4" xfId="6466"/>
    <cellStyle name="40% - Accent2 8 9" xfId="2159"/>
    <cellStyle name="40% - Accent2 8 9 2" xfId="2160"/>
    <cellStyle name="40% - Accent2 8 9 2 2" xfId="6471"/>
    <cellStyle name="40% - Accent2 8 9 3" xfId="6470"/>
    <cellStyle name="40% - Accent3" xfId="33" builtinId="39" customBuiltin="1"/>
    <cellStyle name="40% - Accent3 2" xfId="34"/>
    <cellStyle name="40% - Accent3 2 2" xfId="35"/>
    <cellStyle name="40% - Accent3 3" xfId="36"/>
    <cellStyle name="40% - Accent3 4" xfId="2161"/>
    <cellStyle name="40% - Accent3 4 10" xfId="2162"/>
    <cellStyle name="40% - Accent3 4 10 2" xfId="2163"/>
    <cellStyle name="40% - Accent3 4 10 2 2" xfId="6474"/>
    <cellStyle name="40% - Accent3 4 10 3" xfId="6473"/>
    <cellStyle name="40% - Accent3 4 11" xfId="2164"/>
    <cellStyle name="40% - Accent3 4 11 2" xfId="2165"/>
    <cellStyle name="40% - Accent3 4 11 2 2" xfId="6476"/>
    <cellStyle name="40% - Accent3 4 11 3" xfId="6475"/>
    <cellStyle name="40% - Accent3 4 12" xfId="2166"/>
    <cellStyle name="40% - Accent3 4 12 2" xfId="2167"/>
    <cellStyle name="40% - Accent3 4 12 2 2" xfId="6478"/>
    <cellStyle name="40% - Accent3 4 12 3" xfId="6477"/>
    <cellStyle name="40% - Accent3 4 13" xfId="2168"/>
    <cellStyle name="40% - Accent3 4 13 2" xfId="2169"/>
    <cellStyle name="40% - Accent3 4 13 2 2" xfId="6480"/>
    <cellStyle name="40% - Accent3 4 13 3" xfId="6479"/>
    <cellStyle name="40% - Accent3 4 14" xfId="2170"/>
    <cellStyle name="40% - Accent3 4 14 2" xfId="2171"/>
    <cellStyle name="40% - Accent3 4 14 2 2" xfId="6482"/>
    <cellStyle name="40% - Accent3 4 14 3" xfId="6481"/>
    <cellStyle name="40% - Accent3 4 15" xfId="2172"/>
    <cellStyle name="40% - Accent3 4 15 2" xfId="2173"/>
    <cellStyle name="40% - Accent3 4 15 2 2" xfId="6484"/>
    <cellStyle name="40% - Accent3 4 15 3" xfId="6483"/>
    <cellStyle name="40% - Accent3 4 16" xfId="2174"/>
    <cellStyle name="40% - Accent3 4 16 2" xfId="2175"/>
    <cellStyle name="40% - Accent3 4 16 2 2" xfId="6486"/>
    <cellStyle name="40% - Accent3 4 16 3" xfId="6485"/>
    <cellStyle name="40% - Accent3 4 17" xfId="2176"/>
    <cellStyle name="40% - Accent3 4 17 2" xfId="2177"/>
    <cellStyle name="40% - Accent3 4 17 2 2" xfId="6488"/>
    <cellStyle name="40% - Accent3 4 17 3" xfId="6487"/>
    <cellStyle name="40% - Accent3 4 18" xfId="2178"/>
    <cellStyle name="40% - Accent3 4 18 2" xfId="2179"/>
    <cellStyle name="40% - Accent3 4 18 2 2" xfId="6490"/>
    <cellStyle name="40% - Accent3 4 18 3" xfId="6489"/>
    <cellStyle name="40% - Accent3 4 19" xfId="2180"/>
    <cellStyle name="40% - Accent3 4 19 2" xfId="6491"/>
    <cellStyle name="40% - Accent3 4 2" xfId="2181"/>
    <cellStyle name="40% - Accent3 4 2 2" xfId="2182"/>
    <cellStyle name="40% - Accent3 4 2 2 2" xfId="2183"/>
    <cellStyle name="40% - Accent3 4 2 2 2 2" xfId="6494"/>
    <cellStyle name="40% - Accent3 4 2 2 3" xfId="6493"/>
    <cellStyle name="40% - Accent3 4 2 3" xfId="2184"/>
    <cellStyle name="40% - Accent3 4 2 3 2" xfId="6495"/>
    <cellStyle name="40% - Accent3 4 2 4" xfId="6492"/>
    <cellStyle name="40% - Accent3 4 20" xfId="2185"/>
    <cellStyle name="40% - Accent3 4 20 2" xfId="6496"/>
    <cellStyle name="40% - Accent3 4 21" xfId="6472"/>
    <cellStyle name="40% - Accent3 4 3" xfId="2186"/>
    <cellStyle name="40% - Accent3 4 3 2" xfId="2187"/>
    <cellStyle name="40% - Accent3 4 3 2 2" xfId="2188"/>
    <cellStyle name="40% - Accent3 4 3 2 2 2" xfId="6499"/>
    <cellStyle name="40% - Accent3 4 3 2 3" xfId="6498"/>
    <cellStyle name="40% - Accent3 4 3 3" xfId="2189"/>
    <cellStyle name="40% - Accent3 4 3 3 2" xfId="6500"/>
    <cellStyle name="40% - Accent3 4 3 4" xfId="6497"/>
    <cellStyle name="40% - Accent3 4 4" xfId="2190"/>
    <cellStyle name="40% - Accent3 4 4 2" xfId="2191"/>
    <cellStyle name="40% - Accent3 4 4 2 2" xfId="2192"/>
    <cellStyle name="40% - Accent3 4 4 2 2 2" xfId="6503"/>
    <cellStyle name="40% - Accent3 4 4 2 3" xfId="6502"/>
    <cellStyle name="40% - Accent3 4 4 3" xfId="2193"/>
    <cellStyle name="40% - Accent3 4 4 3 2" xfId="6504"/>
    <cellStyle name="40% - Accent3 4 4 4" xfId="6501"/>
    <cellStyle name="40% - Accent3 4 5" xfId="2194"/>
    <cellStyle name="40% - Accent3 4 5 2" xfId="2195"/>
    <cellStyle name="40% - Accent3 4 5 2 2" xfId="2196"/>
    <cellStyle name="40% - Accent3 4 5 2 2 2" xfId="6507"/>
    <cellStyle name="40% - Accent3 4 5 2 3" xfId="6506"/>
    <cellStyle name="40% - Accent3 4 5 3" xfId="2197"/>
    <cellStyle name="40% - Accent3 4 5 3 2" xfId="6508"/>
    <cellStyle name="40% - Accent3 4 5 4" xfId="6505"/>
    <cellStyle name="40% - Accent3 4 6" xfId="2198"/>
    <cellStyle name="40% - Accent3 4 6 2" xfId="2199"/>
    <cellStyle name="40% - Accent3 4 6 2 2" xfId="2200"/>
    <cellStyle name="40% - Accent3 4 6 2 2 2" xfId="6511"/>
    <cellStyle name="40% - Accent3 4 6 2 3" xfId="6510"/>
    <cellStyle name="40% - Accent3 4 6 3" xfId="2201"/>
    <cellStyle name="40% - Accent3 4 6 3 2" xfId="6512"/>
    <cellStyle name="40% - Accent3 4 6 4" xfId="6509"/>
    <cellStyle name="40% - Accent3 4 7" xfId="2202"/>
    <cellStyle name="40% - Accent3 4 7 2" xfId="2203"/>
    <cellStyle name="40% - Accent3 4 7 2 2" xfId="2204"/>
    <cellStyle name="40% - Accent3 4 7 2 2 2" xfId="6515"/>
    <cellStyle name="40% - Accent3 4 7 2 3" xfId="6514"/>
    <cellStyle name="40% - Accent3 4 7 3" xfId="2205"/>
    <cellStyle name="40% - Accent3 4 7 3 2" xfId="6516"/>
    <cellStyle name="40% - Accent3 4 7 4" xfId="6513"/>
    <cellStyle name="40% - Accent3 4 8" xfId="2206"/>
    <cellStyle name="40% - Accent3 4 8 2" xfId="2207"/>
    <cellStyle name="40% - Accent3 4 8 2 2" xfId="2208"/>
    <cellStyle name="40% - Accent3 4 8 2 2 2" xfId="6519"/>
    <cellStyle name="40% - Accent3 4 8 2 3" xfId="6518"/>
    <cellStyle name="40% - Accent3 4 8 3" xfId="2209"/>
    <cellStyle name="40% - Accent3 4 8 3 2" xfId="6520"/>
    <cellStyle name="40% - Accent3 4 8 4" xfId="6517"/>
    <cellStyle name="40% - Accent3 4 9" xfId="2210"/>
    <cellStyle name="40% - Accent3 4 9 2" xfId="2211"/>
    <cellStyle name="40% - Accent3 4 9 2 2" xfId="6522"/>
    <cellStyle name="40% - Accent3 4 9 3" xfId="6521"/>
    <cellStyle name="40% - Accent3 5" xfId="2212"/>
    <cellStyle name="40% - Accent3 5 10" xfId="2213"/>
    <cellStyle name="40% - Accent3 5 10 2" xfId="2214"/>
    <cellStyle name="40% - Accent3 5 10 2 2" xfId="6525"/>
    <cellStyle name="40% - Accent3 5 10 3" xfId="6524"/>
    <cellStyle name="40% - Accent3 5 11" xfId="2215"/>
    <cellStyle name="40% - Accent3 5 11 2" xfId="2216"/>
    <cellStyle name="40% - Accent3 5 11 2 2" xfId="6527"/>
    <cellStyle name="40% - Accent3 5 11 3" xfId="6526"/>
    <cellStyle name="40% - Accent3 5 12" xfId="2217"/>
    <cellStyle name="40% - Accent3 5 12 2" xfId="2218"/>
    <cellStyle name="40% - Accent3 5 12 2 2" xfId="6529"/>
    <cellStyle name="40% - Accent3 5 12 3" xfId="6528"/>
    <cellStyle name="40% - Accent3 5 13" xfId="2219"/>
    <cellStyle name="40% - Accent3 5 13 2" xfId="2220"/>
    <cellStyle name="40% - Accent3 5 13 2 2" xfId="6531"/>
    <cellStyle name="40% - Accent3 5 13 3" xfId="6530"/>
    <cellStyle name="40% - Accent3 5 14" xfId="2221"/>
    <cellStyle name="40% - Accent3 5 14 2" xfId="2222"/>
    <cellStyle name="40% - Accent3 5 14 2 2" xfId="6533"/>
    <cellStyle name="40% - Accent3 5 14 3" xfId="6532"/>
    <cellStyle name="40% - Accent3 5 15" xfId="2223"/>
    <cellStyle name="40% - Accent3 5 15 2" xfId="2224"/>
    <cellStyle name="40% - Accent3 5 15 2 2" xfId="6535"/>
    <cellStyle name="40% - Accent3 5 15 3" xfId="6534"/>
    <cellStyle name="40% - Accent3 5 16" xfId="2225"/>
    <cellStyle name="40% - Accent3 5 16 2" xfId="2226"/>
    <cellStyle name="40% - Accent3 5 16 2 2" xfId="6537"/>
    <cellStyle name="40% - Accent3 5 16 3" xfId="6536"/>
    <cellStyle name="40% - Accent3 5 17" xfId="2227"/>
    <cellStyle name="40% - Accent3 5 17 2" xfId="2228"/>
    <cellStyle name="40% - Accent3 5 17 2 2" xfId="6539"/>
    <cellStyle name="40% - Accent3 5 17 3" xfId="6538"/>
    <cellStyle name="40% - Accent3 5 18" xfId="2229"/>
    <cellStyle name="40% - Accent3 5 18 2" xfId="2230"/>
    <cellStyle name="40% - Accent3 5 18 2 2" xfId="6541"/>
    <cellStyle name="40% - Accent3 5 18 3" xfId="6540"/>
    <cellStyle name="40% - Accent3 5 19" xfId="2231"/>
    <cellStyle name="40% - Accent3 5 19 2" xfId="6542"/>
    <cellStyle name="40% - Accent3 5 2" xfId="2232"/>
    <cellStyle name="40% - Accent3 5 2 2" xfId="2233"/>
    <cellStyle name="40% - Accent3 5 2 2 2" xfId="2234"/>
    <cellStyle name="40% - Accent3 5 2 2 2 2" xfId="6545"/>
    <cellStyle name="40% - Accent3 5 2 2 3" xfId="6544"/>
    <cellStyle name="40% - Accent3 5 2 3" xfId="2235"/>
    <cellStyle name="40% - Accent3 5 2 3 2" xfId="6546"/>
    <cellStyle name="40% - Accent3 5 2 4" xfId="6543"/>
    <cellStyle name="40% - Accent3 5 20" xfId="2236"/>
    <cellStyle name="40% - Accent3 5 20 2" xfId="6547"/>
    <cellStyle name="40% - Accent3 5 21" xfId="6523"/>
    <cellStyle name="40% - Accent3 5 3" xfId="2237"/>
    <cellStyle name="40% - Accent3 5 3 2" xfId="2238"/>
    <cellStyle name="40% - Accent3 5 3 2 2" xfId="2239"/>
    <cellStyle name="40% - Accent3 5 3 2 2 2" xfId="6550"/>
    <cellStyle name="40% - Accent3 5 3 2 3" xfId="6549"/>
    <cellStyle name="40% - Accent3 5 3 3" xfId="2240"/>
    <cellStyle name="40% - Accent3 5 3 3 2" xfId="6551"/>
    <cellStyle name="40% - Accent3 5 3 4" xfId="6548"/>
    <cellStyle name="40% - Accent3 5 4" xfId="2241"/>
    <cellStyle name="40% - Accent3 5 4 2" xfId="2242"/>
    <cellStyle name="40% - Accent3 5 4 2 2" xfId="2243"/>
    <cellStyle name="40% - Accent3 5 4 2 2 2" xfId="6554"/>
    <cellStyle name="40% - Accent3 5 4 2 3" xfId="6553"/>
    <cellStyle name="40% - Accent3 5 4 3" xfId="2244"/>
    <cellStyle name="40% - Accent3 5 4 3 2" xfId="6555"/>
    <cellStyle name="40% - Accent3 5 4 4" xfId="6552"/>
    <cellStyle name="40% - Accent3 5 5" xfId="2245"/>
    <cellStyle name="40% - Accent3 5 5 2" xfId="2246"/>
    <cellStyle name="40% - Accent3 5 5 2 2" xfId="2247"/>
    <cellStyle name="40% - Accent3 5 5 2 2 2" xfId="6558"/>
    <cellStyle name="40% - Accent3 5 5 2 3" xfId="6557"/>
    <cellStyle name="40% - Accent3 5 5 3" xfId="2248"/>
    <cellStyle name="40% - Accent3 5 5 3 2" xfId="6559"/>
    <cellStyle name="40% - Accent3 5 5 4" xfId="6556"/>
    <cellStyle name="40% - Accent3 5 6" xfId="2249"/>
    <cellStyle name="40% - Accent3 5 6 2" xfId="2250"/>
    <cellStyle name="40% - Accent3 5 6 2 2" xfId="2251"/>
    <cellStyle name="40% - Accent3 5 6 2 2 2" xfId="6562"/>
    <cellStyle name="40% - Accent3 5 6 2 3" xfId="6561"/>
    <cellStyle name="40% - Accent3 5 6 3" xfId="2252"/>
    <cellStyle name="40% - Accent3 5 6 3 2" xfId="6563"/>
    <cellStyle name="40% - Accent3 5 6 4" xfId="6560"/>
    <cellStyle name="40% - Accent3 5 7" xfId="2253"/>
    <cellStyle name="40% - Accent3 5 7 2" xfId="2254"/>
    <cellStyle name="40% - Accent3 5 7 2 2" xfId="2255"/>
    <cellStyle name="40% - Accent3 5 7 2 2 2" xfId="6566"/>
    <cellStyle name="40% - Accent3 5 7 2 3" xfId="6565"/>
    <cellStyle name="40% - Accent3 5 7 3" xfId="2256"/>
    <cellStyle name="40% - Accent3 5 7 3 2" xfId="6567"/>
    <cellStyle name="40% - Accent3 5 7 4" xfId="6564"/>
    <cellStyle name="40% - Accent3 5 8" xfId="2257"/>
    <cellStyle name="40% - Accent3 5 8 2" xfId="2258"/>
    <cellStyle name="40% - Accent3 5 8 2 2" xfId="2259"/>
    <cellStyle name="40% - Accent3 5 8 2 2 2" xfId="6570"/>
    <cellStyle name="40% - Accent3 5 8 2 3" xfId="6569"/>
    <cellStyle name="40% - Accent3 5 8 3" xfId="2260"/>
    <cellStyle name="40% - Accent3 5 8 3 2" xfId="6571"/>
    <cellStyle name="40% - Accent3 5 8 4" xfId="6568"/>
    <cellStyle name="40% - Accent3 5 9" xfId="2261"/>
    <cellStyle name="40% - Accent3 5 9 2" xfId="2262"/>
    <cellStyle name="40% - Accent3 5 9 2 2" xfId="6573"/>
    <cellStyle name="40% - Accent3 5 9 3" xfId="6572"/>
    <cellStyle name="40% - Accent3 6" xfId="2263"/>
    <cellStyle name="40% - Accent3 6 10" xfId="2264"/>
    <cellStyle name="40% - Accent3 6 10 2" xfId="2265"/>
    <cellStyle name="40% - Accent3 6 10 2 2" xfId="6576"/>
    <cellStyle name="40% - Accent3 6 10 3" xfId="6575"/>
    <cellStyle name="40% - Accent3 6 11" xfId="2266"/>
    <cellStyle name="40% - Accent3 6 11 2" xfId="2267"/>
    <cellStyle name="40% - Accent3 6 11 2 2" xfId="6578"/>
    <cellStyle name="40% - Accent3 6 11 3" xfId="6577"/>
    <cellStyle name="40% - Accent3 6 12" xfId="2268"/>
    <cellStyle name="40% - Accent3 6 12 2" xfId="2269"/>
    <cellStyle name="40% - Accent3 6 12 2 2" xfId="6580"/>
    <cellStyle name="40% - Accent3 6 12 3" xfId="6579"/>
    <cellStyle name="40% - Accent3 6 13" xfId="2270"/>
    <cellStyle name="40% - Accent3 6 13 2" xfId="2271"/>
    <cellStyle name="40% - Accent3 6 13 2 2" xfId="6582"/>
    <cellStyle name="40% - Accent3 6 13 3" xfId="6581"/>
    <cellStyle name="40% - Accent3 6 14" xfId="2272"/>
    <cellStyle name="40% - Accent3 6 14 2" xfId="2273"/>
    <cellStyle name="40% - Accent3 6 14 2 2" xfId="6584"/>
    <cellStyle name="40% - Accent3 6 14 3" xfId="6583"/>
    <cellStyle name="40% - Accent3 6 15" xfId="2274"/>
    <cellStyle name="40% - Accent3 6 15 2" xfId="2275"/>
    <cellStyle name="40% - Accent3 6 15 2 2" xfId="6586"/>
    <cellStyle name="40% - Accent3 6 15 3" xfId="6585"/>
    <cellStyle name="40% - Accent3 6 16" xfId="2276"/>
    <cellStyle name="40% - Accent3 6 16 2" xfId="2277"/>
    <cellStyle name="40% - Accent3 6 16 2 2" xfId="6588"/>
    <cellStyle name="40% - Accent3 6 16 3" xfId="6587"/>
    <cellStyle name="40% - Accent3 6 17" xfId="2278"/>
    <cellStyle name="40% - Accent3 6 17 2" xfId="2279"/>
    <cellStyle name="40% - Accent3 6 17 2 2" xfId="6590"/>
    <cellStyle name="40% - Accent3 6 17 3" xfId="6589"/>
    <cellStyle name="40% - Accent3 6 18" xfId="2280"/>
    <cellStyle name="40% - Accent3 6 18 2" xfId="2281"/>
    <cellStyle name="40% - Accent3 6 18 2 2" xfId="6592"/>
    <cellStyle name="40% - Accent3 6 18 3" xfId="6591"/>
    <cellStyle name="40% - Accent3 6 19" xfId="2282"/>
    <cellStyle name="40% - Accent3 6 19 2" xfId="6593"/>
    <cellStyle name="40% - Accent3 6 2" xfId="2283"/>
    <cellStyle name="40% - Accent3 6 2 2" xfId="2284"/>
    <cellStyle name="40% - Accent3 6 2 2 2" xfId="2285"/>
    <cellStyle name="40% - Accent3 6 2 2 2 2" xfId="6596"/>
    <cellStyle name="40% - Accent3 6 2 2 3" xfId="6595"/>
    <cellStyle name="40% - Accent3 6 2 3" xfId="2286"/>
    <cellStyle name="40% - Accent3 6 2 3 2" xfId="6597"/>
    <cellStyle name="40% - Accent3 6 2 4" xfId="6594"/>
    <cellStyle name="40% - Accent3 6 20" xfId="2287"/>
    <cellStyle name="40% - Accent3 6 20 2" xfId="6598"/>
    <cellStyle name="40% - Accent3 6 21" xfId="6574"/>
    <cellStyle name="40% - Accent3 6 3" xfId="2288"/>
    <cellStyle name="40% - Accent3 6 3 2" xfId="2289"/>
    <cellStyle name="40% - Accent3 6 3 2 2" xfId="2290"/>
    <cellStyle name="40% - Accent3 6 3 2 2 2" xfId="6601"/>
    <cellStyle name="40% - Accent3 6 3 2 3" xfId="6600"/>
    <cellStyle name="40% - Accent3 6 3 3" xfId="2291"/>
    <cellStyle name="40% - Accent3 6 3 3 2" xfId="6602"/>
    <cellStyle name="40% - Accent3 6 3 4" xfId="6599"/>
    <cellStyle name="40% - Accent3 6 4" xfId="2292"/>
    <cellStyle name="40% - Accent3 6 4 2" xfId="2293"/>
    <cellStyle name="40% - Accent3 6 4 2 2" xfId="2294"/>
    <cellStyle name="40% - Accent3 6 4 2 2 2" xfId="6605"/>
    <cellStyle name="40% - Accent3 6 4 2 3" xfId="6604"/>
    <cellStyle name="40% - Accent3 6 4 3" xfId="2295"/>
    <cellStyle name="40% - Accent3 6 4 3 2" xfId="6606"/>
    <cellStyle name="40% - Accent3 6 4 4" xfId="6603"/>
    <cellStyle name="40% - Accent3 6 5" xfId="2296"/>
    <cellStyle name="40% - Accent3 6 5 2" xfId="2297"/>
    <cellStyle name="40% - Accent3 6 5 2 2" xfId="2298"/>
    <cellStyle name="40% - Accent3 6 5 2 2 2" xfId="6609"/>
    <cellStyle name="40% - Accent3 6 5 2 3" xfId="6608"/>
    <cellStyle name="40% - Accent3 6 5 3" xfId="2299"/>
    <cellStyle name="40% - Accent3 6 5 3 2" xfId="6610"/>
    <cellStyle name="40% - Accent3 6 5 4" xfId="6607"/>
    <cellStyle name="40% - Accent3 6 6" xfId="2300"/>
    <cellStyle name="40% - Accent3 6 6 2" xfId="2301"/>
    <cellStyle name="40% - Accent3 6 6 2 2" xfId="2302"/>
    <cellStyle name="40% - Accent3 6 6 2 2 2" xfId="6613"/>
    <cellStyle name="40% - Accent3 6 6 2 3" xfId="6612"/>
    <cellStyle name="40% - Accent3 6 6 3" xfId="2303"/>
    <cellStyle name="40% - Accent3 6 6 3 2" xfId="6614"/>
    <cellStyle name="40% - Accent3 6 6 4" xfId="6611"/>
    <cellStyle name="40% - Accent3 6 7" xfId="2304"/>
    <cellStyle name="40% - Accent3 6 7 2" xfId="2305"/>
    <cellStyle name="40% - Accent3 6 7 2 2" xfId="2306"/>
    <cellStyle name="40% - Accent3 6 7 2 2 2" xfId="6617"/>
    <cellStyle name="40% - Accent3 6 7 2 3" xfId="6616"/>
    <cellStyle name="40% - Accent3 6 7 3" xfId="2307"/>
    <cellStyle name="40% - Accent3 6 7 3 2" xfId="6618"/>
    <cellStyle name="40% - Accent3 6 7 4" xfId="6615"/>
    <cellStyle name="40% - Accent3 6 8" xfId="2308"/>
    <cellStyle name="40% - Accent3 6 8 2" xfId="2309"/>
    <cellStyle name="40% - Accent3 6 8 2 2" xfId="2310"/>
    <cellStyle name="40% - Accent3 6 8 2 2 2" xfId="6621"/>
    <cellStyle name="40% - Accent3 6 8 2 3" xfId="6620"/>
    <cellStyle name="40% - Accent3 6 8 3" xfId="2311"/>
    <cellStyle name="40% - Accent3 6 8 3 2" xfId="6622"/>
    <cellStyle name="40% - Accent3 6 8 4" xfId="6619"/>
    <cellStyle name="40% - Accent3 6 9" xfId="2312"/>
    <cellStyle name="40% - Accent3 6 9 2" xfId="2313"/>
    <cellStyle name="40% - Accent3 6 9 2 2" xfId="6624"/>
    <cellStyle name="40% - Accent3 6 9 3" xfId="6623"/>
    <cellStyle name="40% - Accent3 7" xfId="2314"/>
    <cellStyle name="40% - Accent3 7 10" xfId="2315"/>
    <cellStyle name="40% - Accent3 7 10 2" xfId="2316"/>
    <cellStyle name="40% - Accent3 7 10 2 2" xfId="6627"/>
    <cellStyle name="40% - Accent3 7 10 3" xfId="6626"/>
    <cellStyle name="40% - Accent3 7 11" xfId="2317"/>
    <cellStyle name="40% - Accent3 7 11 2" xfId="2318"/>
    <cellStyle name="40% - Accent3 7 11 2 2" xfId="6629"/>
    <cellStyle name="40% - Accent3 7 11 3" xfId="6628"/>
    <cellStyle name="40% - Accent3 7 12" xfId="2319"/>
    <cellStyle name="40% - Accent3 7 12 2" xfId="2320"/>
    <cellStyle name="40% - Accent3 7 12 2 2" xfId="6631"/>
    <cellStyle name="40% - Accent3 7 12 3" xfId="6630"/>
    <cellStyle name="40% - Accent3 7 13" xfId="2321"/>
    <cellStyle name="40% - Accent3 7 13 2" xfId="2322"/>
    <cellStyle name="40% - Accent3 7 13 2 2" xfId="6633"/>
    <cellStyle name="40% - Accent3 7 13 3" xfId="6632"/>
    <cellStyle name="40% - Accent3 7 14" xfId="2323"/>
    <cellStyle name="40% - Accent3 7 14 2" xfId="2324"/>
    <cellStyle name="40% - Accent3 7 14 2 2" xfId="6635"/>
    <cellStyle name="40% - Accent3 7 14 3" xfId="6634"/>
    <cellStyle name="40% - Accent3 7 15" xfId="2325"/>
    <cellStyle name="40% - Accent3 7 15 2" xfId="2326"/>
    <cellStyle name="40% - Accent3 7 15 2 2" xfId="6637"/>
    <cellStyle name="40% - Accent3 7 15 3" xfId="6636"/>
    <cellStyle name="40% - Accent3 7 16" xfId="2327"/>
    <cellStyle name="40% - Accent3 7 16 2" xfId="2328"/>
    <cellStyle name="40% - Accent3 7 16 2 2" xfId="6639"/>
    <cellStyle name="40% - Accent3 7 16 3" xfId="6638"/>
    <cellStyle name="40% - Accent3 7 17" xfId="2329"/>
    <cellStyle name="40% - Accent3 7 17 2" xfId="2330"/>
    <cellStyle name="40% - Accent3 7 17 2 2" xfId="6641"/>
    <cellStyle name="40% - Accent3 7 17 3" xfId="6640"/>
    <cellStyle name="40% - Accent3 7 18" xfId="2331"/>
    <cellStyle name="40% - Accent3 7 18 2" xfId="2332"/>
    <cellStyle name="40% - Accent3 7 18 2 2" xfId="6643"/>
    <cellStyle name="40% - Accent3 7 18 3" xfId="6642"/>
    <cellStyle name="40% - Accent3 7 19" xfId="2333"/>
    <cellStyle name="40% - Accent3 7 19 2" xfId="6644"/>
    <cellStyle name="40% - Accent3 7 2" xfId="2334"/>
    <cellStyle name="40% - Accent3 7 2 2" xfId="2335"/>
    <cellStyle name="40% - Accent3 7 2 2 2" xfId="2336"/>
    <cellStyle name="40% - Accent3 7 2 2 2 2" xfId="6647"/>
    <cellStyle name="40% - Accent3 7 2 2 3" xfId="6646"/>
    <cellStyle name="40% - Accent3 7 2 3" xfId="2337"/>
    <cellStyle name="40% - Accent3 7 2 3 2" xfId="6648"/>
    <cellStyle name="40% - Accent3 7 2 4" xfId="6645"/>
    <cellStyle name="40% - Accent3 7 20" xfId="2338"/>
    <cellStyle name="40% - Accent3 7 20 2" xfId="6649"/>
    <cellStyle name="40% - Accent3 7 21" xfId="6625"/>
    <cellStyle name="40% - Accent3 7 3" xfId="2339"/>
    <cellStyle name="40% - Accent3 7 3 2" xfId="2340"/>
    <cellStyle name="40% - Accent3 7 3 2 2" xfId="2341"/>
    <cellStyle name="40% - Accent3 7 3 2 2 2" xfId="6652"/>
    <cellStyle name="40% - Accent3 7 3 2 3" xfId="6651"/>
    <cellStyle name="40% - Accent3 7 3 3" xfId="2342"/>
    <cellStyle name="40% - Accent3 7 3 3 2" xfId="6653"/>
    <cellStyle name="40% - Accent3 7 3 4" xfId="6650"/>
    <cellStyle name="40% - Accent3 7 4" xfId="2343"/>
    <cellStyle name="40% - Accent3 7 4 2" xfId="2344"/>
    <cellStyle name="40% - Accent3 7 4 2 2" xfId="2345"/>
    <cellStyle name="40% - Accent3 7 4 2 2 2" xfId="6656"/>
    <cellStyle name="40% - Accent3 7 4 2 3" xfId="6655"/>
    <cellStyle name="40% - Accent3 7 4 3" xfId="2346"/>
    <cellStyle name="40% - Accent3 7 4 3 2" xfId="6657"/>
    <cellStyle name="40% - Accent3 7 4 4" xfId="6654"/>
    <cellStyle name="40% - Accent3 7 5" xfId="2347"/>
    <cellStyle name="40% - Accent3 7 5 2" xfId="2348"/>
    <cellStyle name="40% - Accent3 7 5 2 2" xfId="2349"/>
    <cellStyle name="40% - Accent3 7 5 2 2 2" xfId="6660"/>
    <cellStyle name="40% - Accent3 7 5 2 3" xfId="6659"/>
    <cellStyle name="40% - Accent3 7 5 3" xfId="2350"/>
    <cellStyle name="40% - Accent3 7 5 3 2" xfId="6661"/>
    <cellStyle name="40% - Accent3 7 5 4" xfId="6658"/>
    <cellStyle name="40% - Accent3 7 6" xfId="2351"/>
    <cellStyle name="40% - Accent3 7 6 2" xfId="2352"/>
    <cellStyle name="40% - Accent3 7 6 2 2" xfId="2353"/>
    <cellStyle name="40% - Accent3 7 6 2 2 2" xfId="6664"/>
    <cellStyle name="40% - Accent3 7 6 2 3" xfId="6663"/>
    <cellStyle name="40% - Accent3 7 6 3" xfId="2354"/>
    <cellStyle name="40% - Accent3 7 6 3 2" xfId="6665"/>
    <cellStyle name="40% - Accent3 7 6 4" xfId="6662"/>
    <cellStyle name="40% - Accent3 7 7" xfId="2355"/>
    <cellStyle name="40% - Accent3 7 7 2" xfId="2356"/>
    <cellStyle name="40% - Accent3 7 7 2 2" xfId="2357"/>
    <cellStyle name="40% - Accent3 7 7 2 2 2" xfId="6668"/>
    <cellStyle name="40% - Accent3 7 7 2 3" xfId="6667"/>
    <cellStyle name="40% - Accent3 7 7 3" xfId="2358"/>
    <cellStyle name="40% - Accent3 7 7 3 2" xfId="6669"/>
    <cellStyle name="40% - Accent3 7 7 4" xfId="6666"/>
    <cellStyle name="40% - Accent3 7 8" xfId="2359"/>
    <cellStyle name="40% - Accent3 7 8 2" xfId="2360"/>
    <cellStyle name="40% - Accent3 7 8 2 2" xfId="2361"/>
    <cellStyle name="40% - Accent3 7 8 2 2 2" xfId="6672"/>
    <cellStyle name="40% - Accent3 7 8 2 3" xfId="6671"/>
    <cellStyle name="40% - Accent3 7 8 3" xfId="2362"/>
    <cellStyle name="40% - Accent3 7 8 3 2" xfId="6673"/>
    <cellStyle name="40% - Accent3 7 8 4" xfId="6670"/>
    <cellStyle name="40% - Accent3 7 9" xfId="2363"/>
    <cellStyle name="40% - Accent3 7 9 2" xfId="2364"/>
    <cellStyle name="40% - Accent3 7 9 2 2" xfId="6675"/>
    <cellStyle name="40% - Accent3 7 9 3" xfId="6674"/>
    <cellStyle name="40% - Accent3 8" xfId="2365"/>
    <cellStyle name="40% - Accent3 8 10" xfId="2366"/>
    <cellStyle name="40% - Accent3 8 10 2" xfId="2367"/>
    <cellStyle name="40% - Accent3 8 10 2 2" xfId="6678"/>
    <cellStyle name="40% - Accent3 8 10 3" xfId="6677"/>
    <cellStyle name="40% - Accent3 8 11" xfId="2368"/>
    <cellStyle name="40% - Accent3 8 11 2" xfId="2369"/>
    <cellStyle name="40% - Accent3 8 11 2 2" xfId="6680"/>
    <cellStyle name="40% - Accent3 8 11 3" xfId="6679"/>
    <cellStyle name="40% - Accent3 8 12" xfId="2370"/>
    <cellStyle name="40% - Accent3 8 12 2" xfId="2371"/>
    <cellStyle name="40% - Accent3 8 12 2 2" xfId="6682"/>
    <cellStyle name="40% - Accent3 8 12 3" xfId="6681"/>
    <cellStyle name="40% - Accent3 8 13" xfId="2372"/>
    <cellStyle name="40% - Accent3 8 13 2" xfId="2373"/>
    <cellStyle name="40% - Accent3 8 13 2 2" xfId="6684"/>
    <cellStyle name="40% - Accent3 8 13 3" xfId="6683"/>
    <cellStyle name="40% - Accent3 8 14" xfId="2374"/>
    <cellStyle name="40% - Accent3 8 14 2" xfId="2375"/>
    <cellStyle name="40% - Accent3 8 14 2 2" xfId="6686"/>
    <cellStyle name="40% - Accent3 8 14 3" xfId="6685"/>
    <cellStyle name="40% - Accent3 8 15" xfId="2376"/>
    <cellStyle name="40% - Accent3 8 15 2" xfId="2377"/>
    <cellStyle name="40% - Accent3 8 15 2 2" xfId="6688"/>
    <cellStyle name="40% - Accent3 8 15 3" xfId="6687"/>
    <cellStyle name="40% - Accent3 8 16" xfId="2378"/>
    <cellStyle name="40% - Accent3 8 16 2" xfId="2379"/>
    <cellStyle name="40% - Accent3 8 16 2 2" xfId="6690"/>
    <cellStyle name="40% - Accent3 8 16 3" xfId="6689"/>
    <cellStyle name="40% - Accent3 8 17" xfId="2380"/>
    <cellStyle name="40% - Accent3 8 17 2" xfId="2381"/>
    <cellStyle name="40% - Accent3 8 17 2 2" xfId="6692"/>
    <cellStyle name="40% - Accent3 8 17 3" xfId="6691"/>
    <cellStyle name="40% - Accent3 8 18" xfId="2382"/>
    <cellStyle name="40% - Accent3 8 18 2" xfId="2383"/>
    <cellStyle name="40% - Accent3 8 18 2 2" xfId="6694"/>
    <cellStyle name="40% - Accent3 8 18 3" xfId="6693"/>
    <cellStyle name="40% - Accent3 8 19" xfId="2384"/>
    <cellStyle name="40% - Accent3 8 19 2" xfId="6695"/>
    <cellStyle name="40% - Accent3 8 2" xfId="2385"/>
    <cellStyle name="40% - Accent3 8 2 2" xfId="2386"/>
    <cellStyle name="40% - Accent3 8 2 2 2" xfId="2387"/>
    <cellStyle name="40% - Accent3 8 2 2 2 2" xfId="6698"/>
    <cellStyle name="40% - Accent3 8 2 2 3" xfId="6697"/>
    <cellStyle name="40% - Accent3 8 2 3" xfId="2388"/>
    <cellStyle name="40% - Accent3 8 2 3 2" xfId="6699"/>
    <cellStyle name="40% - Accent3 8 2 4" xfId="6696"/>
    <cellStyle name="40% - Accent3 8 20" xfId="2389"/>
    <cellStyle name="40% - Accent3 8 20 2" xfId="6700"/>
    <cellStyle name="40% - Accent3 8 21" xfId="6676"/>
    <cellStyle name="40% - Accent3 8 3" xfId="2390"/>
    <cellStyle name="40% - Accent3 8 3 2" xfId="2391"/>
    <cellStyle name="40% - Accent3 8 3 2 2" xfId="2392"/>
    <cellStyle name="40% - Accent3 8 3 2 2 2" xfId="6703"/>
    <cellStyle name="40% - Accent3 8 3 2 3" xfId="6702"/>
    <cellStyle name="40% - Accent3 8 3 3" xfId="2393"/>
    <cellStyle name="40% - Accent3 8 3 3 2" xfId="6704"/>
    <cellStyle name="40% - Accent3 8 3 4" xfId="6701"/>
    <cellStyle name="40% - Accent3 8 4" xfId="2394"/>
    <cellStyle name="40% - Accent3 8 4 2" xfId="2395"/>
    <cellStyle name="40% - Accent3 8 4 2 2" xfId="2396"/>
    <cellStyle name="40% - Accent3 8 4 2 2 2" xfId="6707"/>
    <cellStyle name="40% - Accent3 8 4 2 3" xfId="6706"/>
    <cellStyle name="40% - Accent3 8 4 3" xfId="2397"/>
    <cellStyle name="40% - Accent3 8 4 3 2" xfId="6708"/>
    <cellStyle name="40% - Accent3 8 4 4" xfId="6705"/>
    <cellStyle name="40% - Accent3 8 5" xfId="2398"/>
    <cellStyle name="40% - Accent3 8 5 2" xfId="2399"/>
    <cellStyle name="40% - Accent3 8 5 2 2" xfId="2400"/>
    <cellStyle name="40% - Accent3 8 5 2 2 2" xfId="6711"/>
    <cellStyle name="40% - Accent3 8 5 2 3" xfId="6710"/>
    <cellStyle name="40% - Accent3 8 5 3" xfId="2401"/>
    <cellStyle name="40% - Accent3 8 5 3 2" xfId="6712"/>
    <cellStyle name="40% - Accent3 8 5 4" xfId="6709"/>
    <cellStyle name="40% - Accent3 8 6" xfId="2402"/>
    <cellStyle name="40% - Accent3 8 6 2" xfId="2403"/>
    <cellStyle name="40% - Accent3 8 6 2 2" xfId="2404"/>
    <cellStyle name="40% - Accent3 8 6 2 2 2" xfId="6715"/>
    <cellStyle name="40% - Accent3 8 6 2 3" xfId="6714"/>
    <cellStyle name="40% - Accent3 8 6 3" xfId="2405"/>
    <cellStyle name="40% - Accent3 8 6 3 2" xfId="6716"/>
    <cellStyle name="40% - Accent3 8 6 4" xfId="6713"/>
    <cellStyle name="40% - Accent3 8 7" xfId="2406"/>
    <cellStyle name="40% - Accent3 8 7 2" xfId="2407"/>
    <cellStyle name="40% - Accent3 8 7 2 2" xfId="2408"/>
    <cellStyle name="40% - Accent3 8 7 2 2 2" xfId="6719"/>
    <cellStyle name="40% - Accent3 8 7 2 3" xfId="6718"/>
    <cellStyle name="40% - Accent3 8 7 3" xfId="2409"/>
    <cellStyle name="40% - Accent3 8 7 3 2" xfId="6720"/>
    <cellStyle name="40% - Accent3 8 7 4" xfId="6717"/>
    <cellStyle name="40% - Accent3 8 8" xfId="2410"/>
    <cellStyle name="40% - Accent3 8 8 2" xfId="2411"/>
    <cellStyle name="40% - Accent3 8 8 2 2" xfId="2412"/>
    <cellStyle name="40% - Accent3 8 8 2 2 2" xfId="6723"/>
    <cellStyle name="40% - Accent3 8 8 2 3" xfId="6722"/>
    <cellStyle name="40% - Accent3 8 8 3" xfId="2413"/>
    <cellStyle name="40% - Accent3 8 8 3 2" xfId="6724"/>
    <cellStyle name="40% - Accent3 8 8 4" xfId="6721"/>
    <cellStyle name="40% - Accent3 8 9" xfId="2414"/>
    <cellStyle name="40% - Accent3 8 9 2" xfId="2415"/>
    <cellStyle name="40% - Accent3 8 9 2 2" xfId="6726"/>
    <cellStyle name="40% - Accent3 8 9 3" xfId="6725"/>
    <cellStyle name="40% - Accent4" xfId="37" builtinId="43" customBuiltin="1"/>
    <cellStyle name="40% - Accent4 2" xfId="38"/>
    <cellStyle name="40% - Accent4 2 2" xfId="39"/>
    <cellStyle name="40% - Accent4 3" xfId="40"/>
    <cellStyle name="40% - Accent4 4" xfId="2416"/>
    <cellStyle name="40% - Accent4 4 10" xfId="2417"/>
    <cellStyle name="40% - Accent4 4 10 2" xfId="2418"/>
    <cellStyle name="40% - Accent4 4 10 2 2" xfId="6729"/>
    <cellStyle name="40% - Accent4 4 10 3" xfId="6728"/>
    <cellStyle name="40% - Accent4 4 11" xfId="2419"/>
    <cellStyle name="40% - Accent4 4 11 2" xfId="2420"/>
    <cellStyle name="40% - Accent4 4 11 2 2" xfId="6731"/>
    <cellStyle name="40% - Accent4 4 11 3" xfId="6730"/>
    <cellStyle name="40% - Accent4 4 12" xfId="2421"/>
    <cellStyle name="40% - Accent4 4 12 2" xfId="2422"/>
    <cellStyle name="40% - Accent4 4 12 2 2" xfId="6733"/>
    <cellStyle name="40% - Accent4 4 12 3" xfId="6732"/>
    <cellStyle name="40% - Accent4 4 13" xfId="2423"/>
    <cellStyle name="40% - Accent4 4 13 2" xfId="2424"/>
    <cellStyle name="40% - Accent4 4 13 2 2" xfId="6735"/>
    <cellStyle name="40% - Accent4 4 13 3" xfId="6734"/>
    <cellStyle name="40% - Accent4 4 14" xfId="2425"/>
    <cellStyle name="40% - Accent4 4 14 2" xfId="2426"/>
    <cellStyle name="40% - Accent4 4 14 2 2" xfId="6737"/>
    <cellStyle name="40% - Accent4 4 14 3" xfId="6736"/>
    <cellStyle name="40% - Accent4 4 15" xfId="2427"/>
    <cellStyle name="40% - Accent4 4 15 2" xfId="2428"/>
    <cellStyle name="40% - Accent4 4 15 2 2" xfId="6739"/>
    <cellStyle name="40% - Accent4 4 15 3" xfId="6738"/>
    <cellStyle name="40% - Accent4 4 16" xfId="2429"/>
    <cellStyle name="40% - Accent4 4 16 2" xfId="2430"/>
    <cellStyle name="40% - Accent4 4 16 2 2" xfId="6741"/>
    <cellStyle name="40% - Accent4 4 16 3" xfId="6740"/>
    <cellStyle name="40% - Accent4 4 17" xfId="2431"/>
    <cellStyle name="40% - Accent4 4 17 2" xfId="2432"/>
    <cellStyle name="40% - Accent4 4 17 2 2" xfId="6743"/>
    <cellStyle name="40% - Accent4 4 17 3" xfId="6742"/>
    <cellStyle name="40% - Accent4 4 18" xfId="2433"/>
    <cellStyle name="40% - Accent4 4 18 2" xfId="2434"/>
    <cellStyle name="40% - Accent4 4 18 2 2" xfId="6745"/>
    <cellStyle name="40% - Accent4 4 18 3" xfId="6744"/>
    <cellStyle name="40% - Accent4 4 19" xfId="2435"/>
    <cellStyle name="40% - Accent4 4 19 2" xfId="6746"/>
    <cellStyle name="40% - Accent4 4 2" xfId="2436"/>
    <cellStyle name="40% - Accent4 4 2 2" xfId="2437"/>
    <cellStyle name="40% - Accent4 4 2 2 2" xfId="2438"/>
    <cellStyle name="40% - Accent4 4 2 2 2 2" xfId="6749"/>
    <cellStyle name="40% - Accent4 4 2 2 3" xfId="6748"/>
    <cellStyle name="40% - Accent4 4 2 3" xfId="2439"/>
    <cellStyle name="40% - Accent4 4 2 3 2" xfId="6750"/>
    <cellStyle name="40% - Accent4 4 2 4" xfId="6747"/>
    <cellStyle name="40% - Accent4 4 20" xfId="2440"/>
    <cellStyle name="40% - Accent4 4 20 2" xfId="6751"/>
    <cellStyle name="40% - Accent4 4 21" xfId="6727"/>
    <cellStyle name="40% - Accent4 4 3" xfId="2441"/>
    <cellStyle name="40% - Accent4 4 3 2" xfId="2442"/>
    <cellStyle name="40% - Accent4 4 3 2 2" xfId="2443"/>
    <cellStyle name="40% - Accent4 4 3 2 2 2" xfId="6754"/>
    <cellStyle name="40% - Accent4 4 3 2 3" xfId="6753"/>
    <cellStyle name="40% - Accent4 4 3 3" xfId="2444"/>
    <cellStyle name="40% - Accent4 4 3 3 2" xfId="6755"/>
    <cellStyle name="40% - Accent4 4 3 4" xfId="6752"/>
    <cellStyle name="40% - Accent4 4 4" xfId="2445"/>
    <cellStyle name="40% - Accent4 4 4 2" xfId="2446"/>
    <cellStyle name="40% - Accent4 4 4 2 2" xfId="2447"/>
    <cellStyle name="40% - Accent4 4 4 2 2 2" xfId="6758"/>
    <cellStyle name="40% - Accent4 4 4 2 3" xfId="6757"/>
    <cellStyle name="40% - Accent4 4 4 3" xfId="2448"/>
    <cellStyle name="40% - Accent4 4 4 3 2" xfId="6759"/>
    <cellStyle name="40% - Accent4 4 4 4" xfId="6756"/>
    <cellStyle name="40% - Accent4 4 5" xfId="2449"/>
    <cellStyle name="40% - Accent4 4 5 2" xfId="2450"/>
    <cellStyle name="40% - Accent4 4 5 2 2" xfId="2451"/>
    <cellStyle name="40% - Accent4 4 5 2 2 2" xfId="6762"/>
    <cellStyle name="40% - Accent4 4 5 2 3" xfId="6761"/>
    <cellStyle name="40% - Accent4 4 5 3" xfId="2452"/>
    <cellStyle name="40% - Accent4 4 5 3 2" xfId="6763"/>
    <cellStyle name="40% - Accent4 4 5 4" xfId="6760"/>
    <cellStyle name="40% - Accent4 4 6" xfId="2453"/>
    <cellStyle name="40% - Accent4 4 6 2" xfId="2454"/>
    <cellStyle name="40% - Accent4 4 6 2 2" xfId="2455"/>
    <cellStyle name="40% - Accent4 4 6 2 2 2" xfId="6766"/>
    <cellStyle name="40% - Accent4 4 6 2 3" xfId="6765"/>
    <cellStyle name="40% - Accent4 4 6 3" xfId="2456"/>
    <cellStyle name="40% - Accent4 4 6 3 2" xfId="6767"/>
    <cellStyle name="40% - Accent4 4 6 4" xfId="6764"/>
    <cellStyle name="40% - Accent4 4 7" xfId="2457"/>
    <cellStyle name="40% - Accent4 4 7 2" xfId="2458"/>
    <cellStyle name="40% - Accent4 4 7 2 2" xfId="2459"/>
    <cellStyle name="40% - Accent4 4 7 2 2 2" xfId="6770"/>
    <cellStyle name="40% - Accent4 4 7 2 3" xfId="6769"/>
    <cellStyle name="40% - Accent4 4 7 3" xfId="2460"/>
    <cellStyle name="40% - Accent4 4 7 3 2" xfId="6771"/>
    <cellStyle name="40% - Accent4 4 7 4" xfId="6768"/>
    <cellStyle name="40% - Accent4 4 8" xfId="2461"/>
    <cellStyle name="40% - Accent4 4 8 2" xfId="2462"/>
    <cellStyle name="40% - Accent4 4 8 2 2" xfId="2463"/>
    <cellStyle name="40% - Accent4 4 8 2 2 2" xfId="6774"/>
    <cellStyle name="40% - Accent4 4 8 2 3" xfId="6773"/>
    <cellStyle name="40% - Accent4 4 8 3" xfId="2464"/>
    <cellStyle name="40% - Accent4 4 8 3 2" xfId="6775"/>
    <cellStyle name="40% - Accent4 4 8 4" xfId="6772"/>
    <cellStyle name="40% - Accent4 4 9" xfId="2465"/>
    <cellStyle name="40% - Accent4 4 9 2" xfId="2466"/>
    <cellStyle name="40% - Accent4 4 9 2 2" xfId="6777"/>
    <cellStyle name="40% - Accent4 4 9 3" xfId="6776"/>
    <cellStyle name="40% - Accent4 5" xfId="2467"/>
    <cellStyle name="40% - Accent4 5 10" xfId="2468"/>
    <cellStyle name="40% - Accent4 5 10 2" xfId="2469"/>
    <cellStyle name="40% - Accent4 5 10 2 2" xfId="6780"/>
    <cellStyle name="40% - Accent4 5 10 3" xfId="6779"/>
    <cellStyle name="40% - Accent4 5 11" xfId="2470"/>
    <cellStyle name="40% - Accent4 5 11 2" xfId="2471"/>
    <cellStyle name="40% - Accent4 5 11 2 2" xfId="6782"/>
    <cellStyle name="40% - Accent4 5 11 3" xfId="6781"/>
    <cellStyle name="40% - Accent4 5 12" xfId="2472"/>
    <cellStyle name="40% - Accent4 5 12 2" xfId="2473"/>
    <cellStyle name="40% - Accent4 5 12 2 2" xfId="6784"/>
    <cellStyle name="40% - Accent4 5 12 3" xfId="6783"/>
    <cellStyle name="40% - Accent4 5 13" xfId="2474"/>
    <cellStyle name="40% - Accent4 5 13 2" xfId="2475"/>
    <cellStyle name="40% - Accent4 5 13 2 2" xfId="6786"/>
    <cellStyle name="40% - Accent4 5 13 3" xfId="6785"/>
    <cellStyle name="40% - Accent4 5 14" xfId="2476"/>
    <cellStyle name="40% - Accent4 5 14 2" xfId="2477"/>
    <cellStyle name="40% - Accent4 5 14 2 2" xfId="6788"/>
    <cellStyle name="40% - Accent4 5 14 3" xfId="6787"/>
    <cellStyle name="40% - Accent4 5 15" xfId="2478"/>
    <cellStyle name="40% - Accent4 5 15 2" xfId="2479"/>
    <cellStyle name="40% - Accent4 5 15 2 2" xfId="6790"/>
    <cellStyle name="40% - Accent4 5 15 3" xfId="6789"/>
    <cellStyle name="40% - Accent4 5 16" xfId="2480"/>
    <cellStyle name="40% - Accent4 5 16 2" xfId="2481"/>
    <cellStyle name="40% - Accent4 5 16 2 2" xfId="6792"/>
    <cellStyle name="40% - Accent4 5 16 3" xfId="6791"/>
    <cellStyle name="40% - Accent4 5 17" xfId="2482"/>
    <cellStyle name="40% - Accent4 5 17 2" xfId="2483"/>
    <cellStyle name="40% - Accent4 5 17 2 2" xfId="6794"/>
    <cellStyle name="40% - Accent4 5 17 3" xfId="6793"/>
    <cellStyle name="40% - Accent4 5 18" xfId="2484"/>
    <cellStyle name="40% - Accent4 5 18 2" xfId="2485"/>
    <cellStyle name="40% - Accent4 5 18 2 2" xfId="6796"/>
    <cellStyle name="40% - Accent4 5 18 3" xfId="6795"/>
    <cellStyle name="40% - Accent4 5 19" xfId="2486"/>
    <cellStyle name="40% - Accent4 5 19 2" xfId="6797"/>
    <cellStyle name="40% - Accent4 5 2" xfId="2487"/>
    <cellStyle name="40% - Accent4 5 2 2" xfId="2488"/>
    <cellStyle name="40% - Accent4 5 2 2 2" xfId="2489"/>
    <cellStyle name="40% - Accent4 5 2 2 2 2" xfId="6800"/>
    <cellStyle name="40% - Accent4 5 2 2 3" xfId="6799"/>
    <cellStyle name="40% - Accent4 5 2 3" xfId="2490"/>
    <cellStyle name="40% - Accent4 5 2 3 2" xfId="6801"/>
    <cellStyle name="40% - Accent4 5 2 4" xfId="6798"/>
    <cellStyle name="40% - Accent4 5 20" xfId="2491"/>
    <cellStyle name="40% - Accent4 5 20 2" xfId="6802"/>
    <cellStyle name="40% - Accent4 5 21" xfId="6778"/>
    <cellStyle name="40% - Accent4 5 3" xfId="2492"/>
    <cellStyle name="40% - Accent4 5 3 2" xfId="2493"/>
    <cellStyle name="40% - Accent4 5 3 2 2" xfId="2494"/>
    <cellStyle name="40% - Accent4 5 3 2 2 2" xfId="6805"/>
    <cellStyle name="40% - Accent4 5 3 2 3" xfId="6804"/>
    <cellStyle name="40% - Accent4 5 3 3" xfId="2495"/>
    <cellStyle name="40% - Accent4 5 3 3 2" xfId="6806"/>
    <cellStyle name="40% - Accent4 5 3 4" xfId="6803"/>
    <cellStyle name="40% - Accent4 5 4" xfId="2496"/>
    <cellStyle name="40% - Accent4 5 4 2" xfId="2497"/>
    <cellStyle name="40% - Accent4 5 4 2 2" xfId="2498"/>
    <cellStyle name="40% - Accent4 5 4 2 2 2" xfId="6809"/>
    <cellStyle name="40% - Accent4 5 4 2 3" xfId="6808"/>
    <cellStyle name="40% - Accent4 5 4 3" xfId="2499"/>
    <cellStyle name="40% - Accent4 5 4 3 2" xfId="6810"/>
    <cellStyle name="40% - Accent4 5 4 4" xfId="6807"/>
    <cellStyle name="40% - Accent4 5 5" xfId="2500"/>
    <cellStyle name="40% - Accent4 5 5 2" xfId="2501"/>
    <cellStyle name="40% - Accent4 5 5 2 2" xfId="2502"/>
    <cellStyle name="40% - Accent4 5 5 2 2 2" xfId="6813"/>
    <cellStyle name="40% - Accent4 5 5 2 3" xfId="6812"/>
    <cellStyle name="40% - Accent4 5 5 3" xfId="2503"/>
    <cellStyle name="40% - Accent4 5 5 3 2" xfId="6814"/>
    <cellStyle name="40% - Accent4 5 5 4" xfId="6811"/>
    <cellStyle name="40% - Accent4 5 6" xfId="2504"/>
    <cellStyle name="40% - Accent4 5 6 2" xfId="2505"/>
    <cellStyle name="40% - Accent4 5 6 2 2" xfId="2506"/>
    <cellStyle name="40% - Accent4 5 6 2 2 2" xfId="6817"/>
    <cellStyle name="40% - Accent4 5 6 2 3" xfId="6816"/>
    <cellStyle name="40% - Accent4 5 6 3" xfId="2507"/>
    <cellStyle name="40% - Accent4 5 6 3 2" xfId="6818"/>
    <cellStyle name="40% - Accent4 5 6 4" xfId="6815"/>
    <cellStyle name="40% - Accent4 5 7" xfId="2508"/>
    <cellStyle name="40% - Accent4 5 7 2" xfId="2509"/>
    <cellStyle name="40% - Accent4 5 7 2 2" xfId="2510"/>
    <cellStyle name="40% - Accent4 5 7 2 2 2" xfId="6821"/>
    <cellStyle name="40% - Accent4 5 7 2 3" xfId="6820"/>
    <cellStyle name="40% - Accent4 5 7 3" xfId="2511"/>
    <cellStyle name="40% - Accent4 5 7 3 2" xfId="6822"/>
    <cellStyle name="40% - Accent4 5 7 4" xfId="6819"/>
    <cellStyle name="40% - Accent4 5 8" xfId="2512"/>
    <cellStyle name="40% - Accent4 5 8 2" xfId="2513"/>
    <cellStyle name="40% - Accent4 5 8 2 2" xfId="2514"/>
    <cellStyle name="40% - Accent4 5 8 2 2 2" xfId="6825"/>
    <cellStyle name="40% - Accent4 5 8 2 3" xfId="6824"/>
    <cellStyle name="40% - Accent4 5 8 3" xfId="2515"/>
    <cellStyle name="40% - Accent4 5 8 3 2" xfId="6826"/>
    <cellStyle name="40% - Accent4 5 8 4" xfId="6823"/>
    <cellStyle name="40% - Accent4 5 9" xfId="2516"/>
    <cellStyle name="40% - Accent4 5 9 2" xfId="2517"/>
    <cellStyle name="40% - Accent4 5 9 2 2" xfId="6828"/>
    <cellStyle name="40% - Accent4 5 9 3" xfId="6827"/>
    <cellStyle name="40% - Accent4 6" xfId="2518"/>
    <cellStyle name="40% - Accent4 6 10" xfId="2519"/>
    <cellStyle name="40% - Accent4 6 10 2" xfId="2520"/>
    <cellStyle name="40% - Accent4 6 10 2 2" xfId="6831"/>
    <cellStyle name="40% - Accent4 6 10 3" xfId="6830"/>
    <cellStyle name="40% - Accent4 6 11" xfId="2521"/>
    <cellStyle name="40% - Accent4 6 11 2" xfId="2522"/>
    <cellStyle name="40% - Accent4 6 11 2 2" xfId="6833"/>
    <cellStyle name="40% - Accent4 6 11 3" xfId="6832"/>
    <cellStyle name="40% - Accent4 6 12" xfId="2523"/>
    <cellStyle name="40% - Accent4 6 12 2" xfId="2524"/>
    <cellStyle name="40% - Accent4 6 12 2 2" xfId="6835"/>
    <cellStyle name="40% - Accent4 6 12 3" xfId="6834"/>
    <cellStyle name="40% - Accent4 6 13" xfId="2525"/>
    <cellStyle name="40% - Accent4 6 13 2" xfId="2526"/>
    <cellStyle name="40% - Accent4 6 13 2 2" xfId="6837"/>
    <cellStyle name="40% - Accent4 6 13 3" xfId="6836"/>
    <cellStyle name="40% - Accent4 6 14" xfId="2527"/>
    <cellStyle name="40% - Accent4 6 14 2" xfId="2528"/>
    <cellStyle name="40% - Accent4 6 14 2 2" xfId="6839"/>
    <cellStyle name="40% - Accent4 6 14 3" xfId="6838"/>
    <cellStyle name="40% - Accent4 6 15" xfId="2529"/>
    <cellStyle name="40% - Accent4 6 15 2" xfId="2530"/>
    <cellStyle name="40% - Accent4 6 15 2 2" xfId="6841"/>
    <cellStyle name="40% - Accent4 6 15 3" xfId="6840"/>
    <cellStyle name="40% - Accent4 6 16" xfId="2531"/>
    <cellStyle name="40% - Accent4 6 16 2" xfId="2532"/>
    <cellStyle name="40% - Accent4 6 16 2 2" xfId="6843"/>
    <cellStyle name="40% - Accent4 6 16 3" xfId="6842"/>
    <cellStyle name="40% - Accent4 6 17" xfId="2533"/>
    <cellStyle name="40% - Accent4 6 17 2" xfId="2534"/>
    <cellStyle name="40% - Accent4 6 17 2 2" xfId="6845"/>
    <cellStyle name="40% - Accent4 6 17 3" xfId="6844"/>
    <cellStyle name="40% - Accent4 6 18" xfId="2535"/>
    <cellStyle name="40% - Accent4 6 18 2" xfId="2536"/>
    <cellStyle name="40% - Accent4 6 18 2 2" xfId="6847"/>
    <cellStyle name="40% - Accent4 6 18 3" xfId="6846"/>
    <cellStyle name="40% - Accent4 6 19" xfId="2537"/>
    <cellStyle name="40% - Accent4 6 19 2" xfId="6848"/>
    <cellStyle name="40% - Accent4 6 2" xfId="2538"/>
    <cellStyle name="40% - Accent4 6 2 2" xfId="2539"/>
    <cellStyle name="40% - Accent4 6 2 2 2" xfId="2540"/>
    <cellStyle name="40% - Accent4 6 2 2 2 2" xfId="6851"/>
    <cellStyle name="40% - Accent4 6 2 2 3" xfId="6850"/>
    <cellStyle name="40% - Accent4 6 2 3" xfId="2541"/>
    <cellStyle name="40% - Accent4 6 2 3 2" xfId="6852"/>
    <cellStyle name="40% - Accent4 6 2 4" xfId="6849"/>
    <cellStyle name="40% - Accent4 6 20" xfId="2542"/>
    <cellStyle name="40% - Accent4 6 20 2" xfId="6853"/>
    <cellStyle name="40% - Accent4 6 21" xfId="6829"/>
    <cellStyle name="40% - Accent4 6 3" xfId="2543"/>
    <cellStyle name="40% - Accent4 6 3 2" xfId="2544"/>
    <cellStyle name="40% - Accent4 6 3 2 2" xfId="2545"/>
    <cellStyle name="40% - Accent4 6 3 2 2 2" xfId="6856"/>
    <cellStyle name="40% - Accent4 6 3 2 3" xfId="6855"/>
    <cellStyle name="40% - Accent4 6 3 3" xfId="2546"/>
    <cellStyle name="40% - Accent4 6 3 3 2" xfId="6857"/>
    <cellStyle name="40% - Accent4 6 3 4" xfId="6854"/>
    <cellStyle name="40% - Accent4 6 4" xfId="2547"/>
    <cellStyle name="40% - Accent4 6 4 2" xfId="2548"/>
    <cellStyle name="40% - Accent4 6 4 2 2" xfId="2549"/>
    <cellStyle name="40% - Accent4 6 4 2 2 2" xfId="6860"/>
    <cellStyle name="40% - Accent4 6 4 2 3" xfId="6859"/>
    <cellStyle name="40% - Accent4 6 4 3" xfId="2550"/>
    <cellStyle name="40% - Accent4 6 4 3 2" xfId="6861"/>
    <cellStyle name="40% - Accent4 6 4 4" xfId="6858"/>
    <cellStyle name="40% - Accent4 6 5" xfId="2551"/>
    <cellStyle name="40% - Accent4 6 5 2" xfId="2552"/>
    <cellStyle name="40% - Accent4 6 5 2 2" xfId="2553"/>
    <cellStyle name="40% - Accent4 6 5 2 2 2" xfId="6864"/>
    <cellStyle name="40% - Accent4 6 5 2 3" xfId="6863"/>
    <cellStyle name="40% - Accent4 6 5 3" xfId="2554"/>
    <cellStyle name="40% - Accent4 6 5 3 2" xfId="6865"/>
    <cellStyle name="40% - Accent4 6 5 4" xfId="6862"/>
    <cellStyle name="40% - Accent4 6 6" xfId="2555"/>
    <cellStyle name="40% - Accent4 6 6 2" xfId="2556"/>
    <cellStyle name="40% - Accent4 6 6 2 2" xfId="2557"/>
    <cellStyle name="40% - Accent4 6 6 2 2 2" xfId="6868"/>
    <cellStyle name="40% - Accent4 6 6 2 3" xfId="6867"/>
    <cellStyle name="40% - Accent4 6 6 3" xfId="2558"/>
    <cellStyle name="40% - Accent4 6 6 3 2" xfId="6869"/>
    <cellStyle name="40% - Accent4 6 6 4" xfId="6866"/>
    <cellStyle name="40% - Accent4 6 7" xfId="2559"/>
    <cellStyle name="40% - Accent4 6 7 2" xfId="2560"/>
    <cellStyle name="40% - Accent4 6 7 2 2" xfId="2561"/>
    <cellStyle name="40% - Accent4 6 7 2 2 2" xfId="6872"/>
    <cellStyle name="40% - Accent4 6 7 2 3" xfId="6871"/>
    <cellStyle name="40% - Accent4 6 7 3" xfId="2562"/>
    <cellStyle name="40% - Accent4 6 7 3 2" xfId="6873"/>
    <cellStyle name="40% - Accent4 6 7 4" xfId="6870"/>
    <cellStyle name="40% - Accent4 6 8" xfId="2563"/>
    <cellStyle name="40% - Accent4 6 8 2" xfId="2564"/>
    <cellStyle name="40% - Accent4 6 8 2 2" xfId="2565"/>
    <cellStyle name="40% - Accent4 6 8 2 2 2" xfId="6876"/>
    <cellStyle name="40% - Accent4 6 8 2 3" xfId="6875"/>
    <cellStyle name="40% - Accent4 6 8 3" xfId="2566"/>
    <cellStyle name="40% - Accent4 6 8 3 2" xfId="6877"/>
    <cellStyle name="40% - Accent4 6 8 4" xfId="6874"/>
    <cellStyle name="40% - Accent4 6 9" xfId="2567"/>
    <cellStyle name="40% - Accent4 6 9 2" xfId="2568"/>
    <cellStyle name="40% - Accent4 6 9 2 2" xfId="6879"/>
    <cellStyle name="40% - Accent4 6 9 3" xfId="6878"/>
    <cellStyle name="40% - Accent4 7" xfId="2569"/>
    <cellStyle name="40% - Accent4 7 10" xfId="2570"/>
    <cellStyle name="40% - Accent4 7 10 2" xfId="2571"/>
    <cellStyle name="40% - Accent4 7 10 2 2" xfId="6882"/>
    <cellStyle name="40% - Accent4 7 10 3" xfId="6881"/>
    <cellStyle name="40% - Accent4 7 11" xfId="2572"/>
    <cellStyle name="40% - Accent4 7 11 2" xfId="2573"/>
    <cellStyle name="40% - Accent4 7 11 2 2" xfId="6884"/>
    <cellStyle name="40% - Accent4 7 11 3" xfId="6883"/>
    <cellStyle name="40% - Accent4 7 12" xfId="2574"/>
    <cellStyle name="40% - Accent4 7 12 2" xfId="2575"/>
    <cellStyle name="40% - Accent4 7 12 2 2" xfId="6886"/>
    <cellStyle name="40% - Accent4 7 12 3" xfId="6885"/>
    <cellStyle name="40% - Accent4 7 13" xfId="2576"/>
    <cellStyle name="40% - Accent4 7 13 2" xfId="2577"/>
    <cellStyle name="40% - Accent4 7 13 2 2" xfId="6888"/>
    <cellStyle name="40% - Accent4 7 13 3" xfId="6887"/>
    <cellStyle name="40% - Accent4 7 14" xfId="2578"/>
    <cellStyle name="40% - Accent4 7 14 2" xfId="2579"/>
    <cellStyle name="40% - Accent4 7 14 2 2" xfId="6890"/>
    <cellStyle name="40% - Accent4 7 14 3" xfId="6889"/>
    <cellStyle name="40% - Accent4 7 15" xfId="2580"/>
    <cellStyle name="40% - Accent4 7 15 2" xfId="2581"/>
    <cellStyle name="40% - Accent4 7 15 2 2" xfId="6892"/>
    <cellStyle name="40% - Accent4 7 15 3" xfId="6891"/>
    <cellStyle name="40% - Accent4 7 16" xfId="2582"/>
    <cellStyle name="40% - Accent4 7 16 2" xfId="2583"/>
    <cellStyle name="40% - Accent4 7 16 2 2" xfId="6894"/>
    <cellStyle name="40% - Accent4 7 16 3" xfId="6893"/>
    <cellStyle name="40% - Accent4 7 17" xfId="2584"/>
    <cellStyle name="40% - Accent4 7 17 2" xfId="2585"/>
    <cellStyle name="40% - Accent4 7 17 2 2" xfId="6896"/>
    <cellStyle name="40% - Accent4 7 17 3" xfId="6895"/>
    <cellStyle name="40% - Accent4 7 18" xfId="2586"/>
    <cellStyle name="40% - Accent4 7 18 2" xfId="2587"/>
    <cellStyle name="40% - Accent4 7 18 2 2" xfId="6898"/>
    <cellStyle name="40% - Accent4 7 18 3" xfId="6897"/>
    <cellStyle name="40% - Accent4 7 19" xfId="2588"/>
    <cellStyle name="40% - Accent4 7 19 2" xfId="6899"/>
    <cellStyle name="40% - Accent4 7 2" xfId="2589"/>
    <cellStyle name="40% - Accent4 7 2 2" xfId="2590"/>
    <cellStyle name="40% - Accent4 7 2 2 2" xfId="2591"/>
    <cellStyle name="40% - Accent4 7 2 2 2 2" xfId="6902"/>
    <cellStyle name="40% - Accent4 7 2 2 3" xfId="6901"/>
    <cellStyle name="40% - Accent4 7 2 3" xfId="2592"/>
    <cellStyle name="40% - Accent4 7 2 3 2" xfId="6903"/>
    <cellStyle name="40% - Accent4 7 2 4" xfId="6900"/>
    <cellStyle name="40% - Accent4 7 20" xfId="2593"/>
    <cellStyle name="40% - Accent4 7 20 2" xfId="6904"/>
    <cellStyle name="40% - Accent4 7 21" xfId="6880"/>
    <cellStyle name="40% - Accent4 7 3" xfId="2594"/>
    <cellStyle name="40% - Accent4 7 3 2" xfId="2595"/>
    <cellStyle name="40% - Accent4 7 3 2 2" xfId="2596"/>
    <cellStyle name="40% - Accent4 7 3 2 2 2" xfId="6907"/>
    <cellStyle name="40% - Accent4 7 3 2 3" xfId="6906"/>
    <cellStyle name="40% - Accent4 7 3 3" xfId="2597"/>
    <cellStyle name="40% - Accent4 7 3 3 2" xfId="6908"/>
    <cellStyle name="40% - Accent4 7 3 4" xfId="6905"/>
    <cellStyle name="40% - Accent4 7 4" xfId="2598"/>
    <cellStyle name="40% - Accent4 7 4 2" xfId="2599"/>
    <cellStyle name="40% - Accent4 7 4 2 2" xfId="2600"/>
    <cellStyle name="40% - Accent4 7 4 2 2 2" xfId="6911"/>
    <cellStyle name="40% - Accent4 7 4 2 3" xfId="6910"/>
    <cellStyle name="40% - Accent4 7 4 3" xfId="2601"/>
    <cellStyle name="40% - Accent4 7 4 3 2" xfId="6912"/>
    <cellStyle name="40% - Accent4 7 4 4" xfId="6909"/>
    <cellStyle name="40% - Accent4 7 5" xfId="2602"/>
    <cellStyle name="40% - Accent4 7 5 2" xfId="2603"/>
    <cellStyle name="40% - Accent4 7 5 2 2" xfId="2604"/>
    <cellStyle name="40% - Accent4 7 5 2 2 2" xfId="6915"/>
    <cellStyle name="40% - Accent4 7 5 2 3" xfId="6914"/>
    <cellStyle name="40% - Accent4 7 5 3" xfId="2605"/>
    <cellStyle name="40% - Accent4 7 5 3 2" xfId="6916"/>
    <cellStyle name="40% - Accent4 7 5 4" xfId="6913"/>
    <cellStyle name="40% - Accent4 7 6" xfId="2606"/>
    <cellStyle name="40% - Accent4 7 6 2" xfId="2607"/>
    <cellStyle name="40% - Accent4 7 6 2 2" xfId="2608"/>
    <cellStyle name="40% - Accent4 7 6 2 2 2" xfId="6919"/>
    <cellStyle name="40% - Accent4 7 6 2 3" xfId="6918"/>
    <cellStyle name="40% - Accent4 7 6 3" xfId="2609"/>
    <cellStyle name="40% - Accent4 7 6 3 2" xfId="6920"/>
    <cellStyle name="40% - Accent4 7 6 4" xfId="6917"/>
    <cellStyle name="40% - Accent4 7 7" xfId="2610"/>
    <cellStyle name="40% - Accent4 7 7 2" xfId="2611"/>
    <cellStyle name="40% - Accent4 7 7 2 2" xfId="2612"/>
    <cellStyle name="40% - Accent4 7 7 2 2 2" xfId="6923"/>
    <cellStyle name="40% - Accent4 7 7 2 3" xfId="6922"/>
    <cellStyle name="40% - Accent4 7 7 3" xfId="2613"/>
    <cellStyle name="40% - Accent4 7 7 3 2" xfId="6924"/>
    <cellStyle name="40% - Accent4 7 7 4" xfId="6921"/>
    <cellStyle name="40% - Accent4 7 8" xfId="2614"/>
    <cellStyle name="40% - Accent4 7 8 2" xfId="2615"/>
    <cellStyle name="40% - Accent4 7 8 2 2" xfId="2616"/>
    <cellStyle name="40% - Accent4 7 8 2 2 2" xfId="6927"/>
    <cellStyle name="40% - Accent4 7 8 2 3" xfId="6926"/>
    <cellStyle name="40% - Accent4 7 8 3" xfId="2617"/>
    <cellStyle name="40% - Accent4 7 8 3 2" xfId="6928"/>
    <cellStyle name="40% - Accent4 7 8 4" xfId="6925"/>
    <cellStyle name="40% - Accent4 7 9" xfId="2618"/>
    <cellStyle name="40% - Accent4 7 9 2" xfId="2619"/>
    <cellStyle name="40% - Accent4 7 9 2 2" xfId="6930"/>
    <cellStyle name="40% - Accent4 7 9 3" xfId="6929"/>
    <cellStyle name="40% - Accent4 8" xfId="2620"/>
    <cellStyle name="40% - Accent4 8 10" xfId="2621"/>
    <cellStyle name="40% - Accent4 8 10 2" xfId="2622"/>
    <cellStyle name="40% - Accent4 8 10 2 2" xfId="6933"/>
    <cellStyle name="40% - Accent4 8 10 3" xfId="6932"/>
    <cellStyle name="40% - Accent4 8 11" xfId="2623"/>
    <cellStyle name="40% - Accent4 8 11 2" xfId="2624"/>
    <cellStyle name="40% - Accent4 8 11 2 2" xfId="6935"/>
    <cellStyle name="40% - Accent4 8 11 3" xfId="6934"/>
    <cellStyle name="40% - Accent4 8 12" xfId="2625"/>
    <cellStyle name="40% - Accent4 8 12 2" xfId="2626"/>
    <cellStyle name="40% - Accent4 8 12 2 2" xfId="6937"/>
    <cellStyle name="40% - Accent4 8 12 3" xfId="6936"/>
    <cellStyle name="40% - Accent4 8 13" xfId="2627"/>
    <cellStyle name="40% - Accent4 8 13 2" xfId="2628"/>
    <cellStyle name="40% - Accent4 8 13 2 2" xfId="6939"/>
    <cellStyle name="40% - Accent4 8 13 3" xfId="6938"/>
    <cellStyle name="40% - Accent4 8 14" xfId="2629"/>
    <cellStyle name="40% - Accent4 8 14 2" xfId="2630"/>
    <cellStyle name="40% - Accent4 8 14 2 2" xfId="6941"/>
    <cellStyle name="40% - Accent4 8 14 3" xfId="6940"/>
    <cellStyle name="40% - Accent4 8 15" xfId="2631"/>
    <cellStyle name="40% - Accent4 8 15 2" xfId="2632"/>
    <cellStyle name="40% - Accent4 8 15 2 2" xfId="6943"/>
    <cellStyle name="40% - Accent4 8 15 3" xfId="6942"/>
    <cellStyle name="40% - Accent4 8 16" xfId="2633"/>
    <cellStyle name="40% - Accent4 8 16 2" xfId="2634"/>
    <cellStyle name="40% - Accent4 8 16 2 2" xfId="6945"/>
    <cellStyle name="40% - Accent4 8 16 3" xfId="6944"/>
    <cellStyle name="40% - Accent4 8 17" xfId="2635"/>
    <cellStyle name="40% - Accent4 8 17 2" xfId="2636"/>
    <cellStyle name="40% - Accent4 8 17 2 2" xfId="6947"/>
    <cellStyle name="40% - Accent4 8 17 3" xfId="6946"/>
    <cellStyle name="40% - Accent4 8 18" xfId="2637"/>
    <cellStyle name="40% - Accent4 8 18 2" xfId="2638"/>
    <cellStyle name="40% - Accent4 8 18 2 2" xfId="6949"/>
    <cellStyle name="40% - Accent4 8 18 3" xfId="6948"/>
    <cellStyle name="40% - Accent4 8 19" xfId="2639"/>
    <cellStyle name="40% - Accent4 8 19 2" xfId="6950"/>
    <cellStyle name="40% - Accent4 8 2" xfId="2640"/>
    <cellStyle name="40% - Accent4 8 2 2" xfId="2641"/>
    <cellStyle name="40% - Accent4 8 2 2 2" xfId="2642"/>
    <cellStyle name="40% - Accent4 8 2 2 2 2" xfId="6953"/>
    <cellStyle name="40% - Accent4 8 2 2 3" xfId="6952"/>
    <cellStyle name="40% - Accent4 8 2 3" xfId="2643"/>
    <cellStyle name="40% - Accent4 8 2 3 2" xfId="6954"/>
    <cellStyle name="40% - Accent4 8 2 4" xfId="6951"/>
    <cellStyle name="40% - Accent4 8 20" xfId="2644"/>
    <cellStyle name="40% - Accent4 8 20 2" xfId="6955"/>
    <cellStyle name="40% - Accent4 8 21" xfId="6931"/>
    <cellStyle name="40% - Accent4 8 3" xfId="2645"/>
    <cellStyle name="40% - Accent4 8 3 2" xfId="2646"/>
    <cellStyle name="40% - Accent4 8 3 2 2" xfId="2647"/>
    <cellStyle name="40% - Accent4 8 3 2 2 2" xfId="6958"/>
    <cellStyle name="40% - Accent4 8 3 2 3" xfId="6957"/>
    <cellStyle name="40% - Accent4 8 3 3" xfId="2648"/>
    <cellStyle name="40% - Accent4 8 3 3 2" xfId="6959"/>
    <cellStyle name="40% - Accent4 8 3 4" xfId="6956"/>
    <cellStyle name="40% - Accent4 8 4" xfId="2649"/>
    <cellStyle name="40% - Accent4 8 4 2" xfId="2650"/>
    <cellStyle name="40% - Accent4 8 4 2 2" xfId="2651"/>
    <cellStyle name="40% - Accent4 8 4 2 2 2" xfId="6962"/>
    <cellStyle name="40% - Accent4 8 4 2 3" xfId="6961"/>
    <cellStyle name="40% - Accent4 8 4 3" xfId="2652"/>
    <cellStyle name="40% - Accent4 8 4 3 2" xfId="6963"/>
    <cellStyle name="40% - Accent4 8 4 4" xfId="6960"/>
    <cellStyle name="40% - Accent4 8 5" xfId="2653"/>
    <cellStyle name="40% - Accent4 8 5 2" xfId="2654"/>
    <cellStyle name="40% - Accent4 8 5 2 2" xfId="2655"/>
    <cellStyle name="40% - Accent4 8 5 2 2 2" xfId="6966"/>
    <cellStyle name="40% - Accent4 8 5 2 3" xfId="6965"/>
    <cellStyle name="40% - Accent4 8 5 3" xfId="2656"/>
    <cellStyle name="40% - Accent4 8 5 3 2" xfId="6967"/>
    <cellStyle name="40% - Accent4 8 5 4" xfId="6964"/>
    <cellStyle name="40% - Accent4 8 6" xfId="2657"/>
    <cellStyle name="40% - Accent4 8 6 2" xfId="2658"/>
    <cellStyle name="40% - Accent4 8 6 2 2" xfId="2659"/>
    <cellStyle name="40% - Accent4 8 6 2 2 2" xfId="6970"/>
    <cellStyle name="40% - Accent4 8 6 2 3" xfId="6969"/>
    <cellStyle name="40% - Accent4 8 6 3" xfId="2660"/>
    <cellStyle name="40% - Accent4 8 6 3 2" xfId="6971"/>
    <cellStyle name="40% - Accent4 8 6 4" xfId="6968"/>
    <cellStyle name="40% - Accent4 8 7" xfId="2661"/>
    <cellStyle name="40% - Accent4 8 7 2" xfId="2662"/>
    <cellStyle name="40% - Accent4 8 7 2 2" xfId="2663"/>
    <cellStyle name="40% - Accent4 8 7 2 2 2" xfId="6974"/>
    <cellStyle name="40% - Accent4 8 7 2 3" xfId="6973"/>
    <cellStyle name="40% - Accent4 8 7 3" xfId="2664"/>
    <cellStyle name="40% - Accent4 8 7 3 2" xfId="6975"/>
    <cellStyle name="40% - Accent4 8 7 4" xfId="6972"/>
    <cellStyle name="40% - Accent4 8 8" xfId="2665"/>
    <cellStyle name="40% - Accent4 8 8 2" xfId="2666"/>
    <cellStyle name="40% - Accent4 8 8 2 2" xfId="2667"/>
    <cellStyle name="40% - Accent4 8 8 2 2 2" xfId="6978"/>
    <cellStyle name="40% - Accent4 8 8 2 3" xfId="6977"/>
    <cellStyle name="40% - Accent4 8 8 3" xfId="2668"/>
    <cellStyle name="40% - Accent4 8 8 3 2" xfId="6979"/>
    <cellStyle name="40% - Accent4 8 8 4" xfId="6976"/>
    <cellStyle name="40% - Accent4 8 9" xfId="2669"/>
    <cellStyle name="40% - Accent4 8 9 2" xfId="2670"/>
    <cellStyle name="40% - Accent4 8 9 2 2" xfId="6981"/>
    <cellStyle name="40% - Accent4 8 9 3" xfId="6980"/>
    <cellStyle name="40% - Accent5" xfId="41" builtinId="47" customBuiltin="1"/>
    <cellStyle name="40% - Accent5 2" xfId="42"/>
    <cellStyle name="40% - Accent5 2 2" xfId="43"/>
    <cellStyle name="40% - Accent5 3" xfId="44"/>
    <cellStyle name="40% - Accent5 4" xfId="2671"/>
    <cellStyle name="40% - Accent5 4 10" xfId="2672"/>
    <cellStyle name="40% - Accent5 4 10 2" xfId="2673"/>
    <cellStyle name="40% - Accent5 4 10 2 2" xfId="6984"/>
    <cellStyle name="40% - Accent5 4 10 3" xfId="6983"/>
    <cellStyle name="40% - Accent5 4 11" xfId="2674"/>
    <cellStyle name="40% - Accent5 4 11 2" xfId="2675"/>
    <cellStyle name="40% - Accent5 4 11 2 2" xfId="6986"/>
    <cellStyle name="40% - Accent5 4 11 3" xfId="6985"/>
    <cellStyle name="40% - Accent5 4 12" xfId="2676"/>
    <cellStyle name="40% - Accent5 4 12 2" xfId="2677"/>
    <cellStyle name="40% - Accent5 4 12 2 2" xfId="6988"/>
    <cellStyle name="40% - Accent5 4 12 3" xfId="6987"/>
    <cellStyle name="40% - Accent5 4 13" xfId="2678"/>
    <cellStyle name="40% - Accent5 4 13 2" xfId="2679"/>
    <cellStyle name="40% - Accent5 4 13 2 2" xfId="6990"/>
    <cellStyle name="40% - Accent5 4 13 3" xfId="6989"/>
    <cellStyle name="40% - Accent5 4 14" xfId="2680"/>
    <cellStyle name="40% - Accent5 4 14 2" xfId="2681"/>
    <cellStyle name="40% - Accent5 4 14 2 2" xfId="6992"/>
    <cellStyle name="40% - Accent5 4 14 3" xfId="6991"/>
    <cellStyle name="40% - Accent5 4 15" xfId="2682"/>
    <cellStyle name="40% - Accent5 4 15 2" xfId="2683"/>
    <cellStyle name="40% - Accent5 4 15 2 2" xfId="6994"/>
    <cellStyle name="40% - Accent5 4 15 3" xfId="6993"/>
    <cellStyle name="40% - Accent5 4 16" xfId="2684"/>
    <cellStyle name="40% - Accent5 4 16 2" xfId="2685"/>
    <cellStyle name="40% - Accent5 4 16 2 2" xfId="6996"/>
    <cellStyle name="40% - Accent5 4 16 3" xfId="6995"/>
    <cellStyle name="40% - Accent5 4 17" xfId="2686"/>
    <cellStyle name="40% - Accent5 4 17 2" xfId="2687"/>
    <cellStyle name="40% - Accent5 4 17 2 2" xfId="6998"/>
    <cellStyle name="40% - Accent5 4 17 3" xfId="6997"/>
    <cellStyle name="40% - Accent5 4 18" xfId="2688"/>
    <cellStyle name="40% - Accent5 4 18 2" xfId="2689"/>
    <cellStyle name="40% - Accent5 4 18 2 2" xfId="7000"/>
    <cellStyle name="40% - Accent5 4 18 3" xfId="6999"/>
    <cellStyle name="40% - Accent5 4 19" xfId="2690"/>
    <cellStyle name="40% - Accent5 4 19 2" xfId="7001"/>
    <cellStyle name="40% - Accent5 4 2" xfId="2691"/>
    <cellStyle name="40% - Accent5 4 2 2" xfId="2692"/>
    <cellStyle name="40% - Accent5 4 2 2 2" xfId="2693"/>
    <cellStyle name="40% - Accent5 4 2 2 2 2" xfId="7004"/>
    <cellStyle name="40% - Accent5 4 2 2 3" xfId="7003"/>
    <cellStyle name="40% - Accent5 4 2 3" xfId="2694"/>
    <cellStyle name="40% - Accent5 4 2 3 2" xfId="7005"/>
    <cellStyle name="40% - Accent5 4 2 4" xfId="7002"/>
    <cellStyle name="40% - Accent5 4 20" xfId="2695"/>
    <cellStyle name="40% - Accent5 4 20 2" xfId="7006"/>
    <cellStyle name="40% - Accent5 4 21" xfId="6982"/>
    <cellStyle name="40% - Accent5 4 3" xfId="2696"/>
    <cellStyle name="40% - Accent5 4 3 2" xfId="2697"/>
    <cellStyle name="40% - Accent5 4 3 2 2" xfId="2698"/>
    <cellStyle name="40% - Accent5 4 3 2 2 2" xfId="7009"/>
    <cellStyle name="40% - Accent5 4 3 2 3" xfId="7008"/>
    <cellStyle name="40% - Accent5 4 3 3" xfId="2699"/>
    <cellStyle name="40% - Accent5 4 3 3 2" xfId="7010"/>
    <cellStyle name="40% - Accent5 4 3 4" xfId="7007"/>
    <cellStyle name="40% - Accent5 4 4" xfId="2700"/>
    <cellStyle name="40% - Accent5 4 4 2" xfId="2701"/>
    <cellStyle name="40% - Accent5 4 4 2 2" xfId="2702"/>
    <cellStyle name="40% - Accent5 4 4 2 2 2" xfId="7013"/>
    <cellStyle name="40% - Accent5 4 4 2 3" xfId="7012"/>
    <cellStyle name="40% - Accent5 4 4 3" xfId="2703"/>
    <cellStyle name="40% - Accent5 4 4 3 2" xfId="7014"/>
    <cellStyle name="40% - Accent5 4 4 4" xfId="7011"/>
    <cellStyle name="40% - Accent5 4 5" xfId="2704"/>
    <cellStyle name="40% - Accent5 4 5 2" xfId="2705"/>
    <cellStyle name="40% - Accent5 4 5 2 2" xfId="2706"/>
    <cellStyle name="40% - Accent5 4 5 2 2 2" xfId="7017"/>
    <cellStyle name="40% - Accent5 4 5 2 3" xfId="7016"/>
    <cellStyle name="40% - Accent5 4 5 3" xfId="2707"/>
    <cellStyle name="40% - Accent5 4 5 3 2" xfId="7018"/>
    <cellStyle name="40% - Accent5 4 5 4" xfId="7015"/>
    <cellStyle name="40% - Accent5 4 6" xfId="2708"/>
    <cellStyle name="40% - Accent5 4 6 2" xfId="2709"/>
    <cellStyle name="40% - Accent5 4 6 2 2" xfId="2710"/>
    <cellStyle name="40% - Accent5 4 6 2 2 2" xfId="7021"/>
    <cellStyle name="40% - Accent5 4 6 2 3" xfId="7020"/>
    <cellStyle name="40% - Accent5 4 6 3" xfId="2711"/>
    <cellStyle name="40% - Accent5 4 6 3 2" xfId="7022"/>
    <cellStyle name="40% - Accent5 4 6 4" xfId="7019"/>
    <cellStyle name="40% - Accent5 4 7" xfId="2712"/>
    <cellStyle name="40% - Accent5 4 7 2" xfId="2713"/>
    <cellStyle name="40% - Accent5 4 7 2 2" xfId="2714"/>
    <cellStyle name="40% - Accent5 4 7 2 2 2" xfId="7025"/>
    <cellStyle name="40% - Accent5 4 7 2 3" xfId="7024"/>
    <cellStyle name="40% - Accent5 4 7 3" xfId="2715"/>
    <cellStyle name="40% - Accent5 4 7 3 2" xfId="7026"/>
    <cellStyle name="40% - Accent5 4 7 4" xfId="7023"/>
    <cellStyle name="40% - Accent5 4 8" xfId="2716"/>
    <cellStyle name="40% - Accent5 4 8 2" xfId="2717"/>
    <cellStyle name="40% - Accent5 4 8 2 2" xfId="2718"/>
    <cellStyle name="40% - Accent5 4 8 2 2 2" xfId="7029"/>
    <cellStyle name="40% - Accent5 4 8 2 3" xfId="7028"/>
    <cellStyle name="40% - Accent5 4 8 3" xfId="2719"/>
    <cellStyle name="40% - Accent5 4 8 3 2" xfId="7030"/>
    <cellStyle name="40% - Accent5 4 8 4" xfId="7027"/>
    <cellStyle name="40% - Accent5 4 9" xfId="2720"/>
    <cellStyle name="40% - Accent5 4 9 2" xfId="2721"/>
    <cellStyle name="40% - Accent5 4 9 2 2" xfId="7032"/>
    <cellStyle name="40% - Accent5 4 9 3" xfId="7031"/>
    <cellStyle name="40% - Accent5 5" xfId="2722"/>
    <cellStyle name="40% - Accent5 5 10" xfId="2723"/>
    <cellStyle name="40% - Accent5 5 10 2" xfId="2724"/>
    <cellStyle name="40% - Accent5 5 10 2 2" xfId="7035"/>
    <cellStyle name="40% - Accent5 5 10 3" xfId="7034"/>
    <cellStyle name="40% - Accent5 5 11" xfId="2725"/>
    <cellStyle name="40% - Accent5 5 11 2" xfId="2726"/>
    <cellStyle name="40% - Accent5 5 11 2 2" xfId="7037"/>
    <cellStyle name="40% - Accent5 5 11 3" xfId="7036"/>
    <cellStyle name="40% - Accent5 5 12" xfId="2727"/>
    <cellStyle name="40% - Accent5 5 12 2" xfId="2728"/>
    <cellStyle name="40% - Accent5 5 12 2 2" xfId="7039"/>
    <cellStyle name="40% - Accent5 5 12 3" xfId="7038"/>
    <cellStyle name="40% - Accent5 5 13" xfId="2729"/>
    <cellStyle name="40% - Accent5 5 13 2" xfId="2730"/>
    <cellStyle name="40% - Accent5 5 13 2 2" xfId="7041"/>
    <cellStyle name="40% - Accent5 5 13 3" xfId="7040"/>
    <cellStyle name="40% - Accent5 5 14" xfId="2731"/>
    <cellStyle name="40% - Accent5 5 14 2" xfId="2732"/>
    <cellStyle name="40% - Accent5 5 14 2 2" xfId="7043"/>
    <cellStyle name="40% - Accent5 5 14 3" xfId="7042"/>
    <cellStyle name="40% - Accent5 5 15" xfId="2733"/>
    <cellStyle name="40% - Accent5 5 15 2" xfId="2734"/>
    <cellStyle name="40% - Accent5 5 15 2 2" xfId="7045"/>
    <cellStyle name="40% - Accent5 5 15 3" xfId="7044"/>
    <cellStyle name="40% - Accent5 5 16" xfId="2735"/>
    <cellStyle name="40% - Accent5 5 16 2" xfId="2736"/>
    <cellStyle name="40% - Accent5 5 16 2 2" xfId="7047"/>
    <cellStyle name="40% - Accent5 5 16 3" xfId="7046"/>
    <cellStyle name="40% - Accent5 5 17" xfId="2737"/>
    <cellStyle name="40% - Accent5 5 17 2" xfId="2738"/>
    <cellStyle name="40% - Accent5 5 17 2 2" xfId="7049"/>
    <cellStyle name="40% - Accent5 5 17 3" xfId="7048"/>
    <cellStyle name="40% - Accent5 5 18" xfId="2739"/>
    <cellStyle name="40% - Accent5 5 18 2" xfId="2740"/>
    <cellStyle name="40% - Accent5 5 18 2 2" xfId="7051"/>
    <cellStyle name="40% - Accent5 5 18 3" xfId="7050"/>
    <cellStyle name="40% - Accent5 5 19" xfId="2741"/>
    <cellStyle name="40% - Accent5 5 19 2" xfId="7052"/>
    <cellStyle name="40% - Accent5 5 2" xfId="2742"/>
    <cellStyle name="40% - Accent5 5 2 2" xfId="2743"/>
    <cellStyle name="40% - Accent5 5 2 2 2" xfId="2744"/>
    <cellStyle name="40% - Accent5 5 2 2 2 2" xfId="7055"/>
    <cellStyle name="40% - Accent5 5 2 2 3" xfId="7054"/>
    <cellStyle name="40% - Accent5 5 2 3" xfId="2745"/>
    <cellStyle name="40% - Accent5 5 2 3 2" xfId="7056"/>
    <cellStyle name="40% - Accent5 5 2 4" xfId="7053"/>
    <cellStyle name="40% - Accent5 5 20" xfId="2746"/>
    <cellStyle name="40% - Accent5 5 20 2" xfId="7057"/>
    <cellStyle name="40% - Accent5 5 21" xfId="7033"/>
    <cellStyle name="40% - Accent5 5 3" xfId="2747"/>
    <cellStyle name="40% - Accent5 5 3 2" xfId="2748"/>
    <cellStyle name="40% - Accent5 5 3 2 2" xfId="2749"/>
    <cellStyle name="40% - Accent5 5 3 2 2 2" xfId="7060"/>
    <cellStyle name="40% - Accent5 5 3 2 3" xfId="7059"/>
    <cellStyle name="40% - Accent5 5 3 3" xfId="2750"/>
    <cellStyle name="40% - Accent5 5 3 3 2" xfId="7061"/>
    <cellStyle name="40% - Accent5 5 3 4" xfId="7058"/>
    <cellStyle name="40% - Accent5 5 4" xfId="2751"/>
    <cellStyle name="40% - Accent5 5 4 2" xfId="2752"/>
    <cellStyle name="40% - Accent5 5 4 2 2" xfId="2753"/>
    <cellStyle name="40% - Accent5 5 4 2 2 2" xfId="7064"/>
    <cellStyle name="40% - Accent5 5 4 2 3" xfId="7063"/>
    <cellStyle name="40% - Accent5 5 4 3" xfId="2754"/>
    <cellStyle name="40% - Accent5 5 4 3 2" xfId="7065"/>
    <cellStyle name="40% - Accent5 5 4 4" xfId="7062"/>
    <cellStyle name="40% - Accent5 5 5" xfId="2755"/>
    <cellStyle name="40% - Accent5 5 5 2" xfId="2756"/>
    <cellStyle name="40% - Accent5 5 5 2 2" xfId="2757"/>
    <cellStyle name="40% - Accent5 5 5 2 2 2" xfId="7068"/>
    <cellStyle name="40% - Accent5 5 5 2 3" xfId="7067"/>
    <cellStyle name="40% - Accent5 5 5 3" xfId="2758"/>
    <cellStyle name="40% - Accent5 5 5 3 2" xfId="7069"/>
    <cellStyle name="40% - Accent5 5 5 4" xfId="7066"/>
    <cellStyle name="40% - Accent5 5 6" xfId="2759"/>
    <cellStyle name="40% - Accent5 5 6 2" xfId="2760"/>
    <cellStyle name="40% - Accent5 5 6 2 2" xfId="2761"/>
    <cellStyle name="40% - Accent5 5 6 2 2 2" xfId="7072"/>
    <cellStyle name="40% - Accent5 5 6 2 3" xfId="7071"/>
    <cellStyle name="40% - Accent5 5 6 3" xfId="2762"/>
    <cellStyle name="40% - Accent5 5 6 3 2" xfId="7073"/>
    <cellStyle name="40% - Accent5 5 6 4" xfId="7070"/>
    <cellStyle name="40% - Accent5 5 7" xfId="2763"/>
    <cellStyle name="40% - Accent5 5 7 2" xfId="2764"/>
    <cellStyle name="40% - Accent5 5 7 2 2" xfId="2765"/>
    <cellStyle name="40% - Accent5 5 7 2 2 2" xfId="7076"/>
    <cellStyle name="40% - Accent5 5 7 2 3" xfId="7075"/>
    <cellStyle name="40% - Accent5 5 7 3" xfId="2766"/>
    <cellStyle name="40% - Accent5 5 7 3 2" xfId="7077"/>
    <cellStyle name="40% - Accent5 5 7 4" xfId="7074"/>
    <cellStyle name="40% - Accent5 5 8" xfId="2767"/>
    <cellStyle name="40% - Accent5 5 8 2" xfId="2768"/>
    <cellStyle name="40% - Accent5 5 8 2 2" xfId="2769"/>
    <cellStyle name="40% - Accent5 5 8 2 2 2" xfId="7080"/>
    <cellStyle name="40% - Accent5 5 8 2 3" xfId="7079"/>
    <cellStyle name="40% - Accent5 5 8 3" xfId="2770"/>
    <cellStyle name="40% - Accent5 5 8 3 2" xfId="7081"/>
    <cellStyle name="40% - Accent5 5 8 4" xfId="7078"/>
    <cellStyle name="40% - Accent5 5 9" xfId="2771"/>
    <cellStyle name="40% - Accent5 5 9 2" xfId="2772"/>
    <cellStyle name="40% - Accent5 5 9 2 2" xfId="7083"/>
    <cellStyle name="40% - Accent5 5 9 3" xfId="7082"/>
    <cellStyle name="40% - Accent5 6" xfId="2773"/>
    <cellStyle name="40% - Accent5 6 10" xfId="2774"/>
    <cellStyle name="40% - Accent5 6 10 2" xfId="2775"/>
    <cellStyle name="40% - Accent5 6 10 2 2" xfId="7086"/>
    <cellStyle name="40% - Accent5 6 10 3" xfId="7085"/>
    <cellStyle name="40% - Accent5 6 11" xfId="2776"/>
    <cellStyle name="40% - Accent5 6 11 2" xfId="2777"/>
    <cellStyle name="40% - Accent5 6 11 2 2" xfId="7088"/>
    <cellStyle name="40% - Accent5 6 11 3" xfId="7087"/>
    <cellStyle name="40% - Accent5 6 12" xfId="2778"/>
    <cellStyle name="40% - Accent5 6 12 2" xfId="2779"/>
    <cellStyle name="40% - Accent5 6 12 2 2" xfId="7090"/>
    <cellStyle name="40% - Accent5 6 12 3" xfId="7089"/>
    <cellStyle name="40% - Accent5 6 13" xfId="2780"/>
    <cellStyle name="40% - Accent5 6 13 2" xfId="2781"/>
    <cellStyle name="40% - Accent5 6 13 2 2" xfId="7092"/>
    <cellStyle name="40% - Accent5 6 13 3" xfId="7091"/>
    <cellStyle name="40% - Accent5 6 14" xfId="2782"/>
    <cellStyle name="40% - Accent5 6 14 2" xfId="2783"/>
    <cellStyle name="40% - Accent5 6 14 2 2" xfId="7094"/>
    <cellStyle name="40% - Accent5 6 14 3" xfId="7093"/>
    <cellStyle name="40% - Accent5 6 15" xfId="2784"/>
    <cellStyle name="40% - Accent5 6 15 2" xfId="2785"/>
    <cellStyle name="40% - Accent5 6 15 2 2" xfId="7096"/>
    <cellStyle name="40% - Accent5 6 15 3" xfId="7095"/>
    <cellStyle name="40% - Accent5 6 16" xfId="2786"/>
    <cellStyle name="40% - Accent5 6 16 2" xfId="2787"/>
    <cellStyle name="40% - Accent5 6 16 2 2" xfId="7098"/>
    <cellStyle name="40% - Accent5 6 16 3" xfId="7097"/>
    <cellStyle name="40% - Accent5 6 17" xfId="2788"/>
    <cellStyle name="40% - Accent5 6 17 2" xfId="2789"/>
    <cellStyle name="40% - Accent5 6 17 2 2" xfId="7100"/>
    <cellStyle name="40% - Accent5 6 17 3" xfId="7099"/>
    <cellStyle name="40% - Accent5 6 18" xfId="2790"/>
    <cellStyle name="40% - Accent5 6 18 2" xfId="2791"/>
    <cellStyle name="40% - Accent5 6 18 2 2" xfId="7102"/>
    <cellStyle name="40% - Accent5 6 18 3" xfId="7101"/>
    <cellStyle name="40% - Accent5 6 19" xfId="2792"/>
    <cellStyle name="40% - Accent5 6 19 2" xfId="7103"/>
    <cellStyle name="40% - Accent5 6 2" xfId="2793"/>
    <cellStyle name="40% - Accent5 6 2 2" xfId="2794"/>
    <cellStyle name="40% - Accent5 6 2 2 2" xfId="2795"/>
    <cellStyle name="40% - Accent5 6 2 2 2 2" xfId="7106"/>
    <cellStyle name="40% - Accent5 6 2 2 3" xfId="7105"/>
    <cellStyle name="40% - Accent5 6 2 3" xfId="2796"/>
    <cellStyle name="40% - Accent5 6 2 3 2" xfId="7107"/>
    <cellStyle name="40% - Accent5 6 2 4" xfId="7104"/>
    <cellStyle name="40% - Accent5 6 20" xfId="2797"/>
    <cellStyle name="40% - Accent5 6 20 2" xfId="7108"/>
    <cellStyle name="40% - Accent5 6 21" xfId="7084"/>
    <cellStyle name="40% - Accent5 6 3" xfId="2798"/>
    <cellStyle name="40% - Accent5 6 3 2" xfId="2799"/>
    <cellStyle name="40% - Accent5 6 3 2 2" xfId="2800"/>
    <cellStyle name="40% - Accent5 6 3 2 2 2" xfId="7111"/>
    <cellStyle name="40% - Accent5 6 3 2 3" xfId="7110"/>
    <cellStyle name="40% - Accent5 6 3 3" xfId="2801"/>
    <cellStyle name="40% - Accent5 6 3 3 2" xfId="7112"/>
    <cellStyle name="40% - Accent5 6 3 4" xfId="7109"/>
    <cellStyle name="40% - Accent5 6 4" xfId="2802"/>
    <cellStyle name="40% - Accent5 6 4 2" xfId="2803"/>
    <cellStyle name="40% - Accent5 6 4 2 2" xfId="2804"/>
    <cellStyle name="40% - Accent5 6 4 2 2 2" xfId="7115"/>
    <cellStyle name="40% - Accent5 6 4 2 3" xfId="7114"/>
    <cellStyle name="40% - Accent5 6 4 3" xfId="2805"/>
    <cellStyle name="40% - Accent5 6 4 3 2" xfId="7116"/>
    <cellStyle name="40% - Accent5 6 4 4" xfId="7113"/>
    <cellStyle name="40% - Accent5 6 5" xfId="2806"/>
    <cellStyle name="40% - Accent5 6 5 2" xfId="2807"/>
    <cellStyle name="40% - Accent5 6 5 2 2" xfId="2808"/>
    <cellStyle name="40% - Accent5 6 5 2 2 2" xfId="7119"/>
    <cellStyle name="40% - Accent5 6 5 2 3" xfId="7118"/>
    <cellStyle name="40% - Accent5 6 5 3" xfId="2809"/>
    <cellStyle name="40% - Accent5 6 5 3 2" xfId="7120"/>
    <cellStyle name="40% - Accent5 6 5 4" xfId="7117"/>
    <cellStyle name="40% - Accent5 6 6" xfId="2810"/>
    <cellStyle name="40% - Accent5 6 6 2" xfId="2811"/>
    <cellStyle name="40% - Accent5 6 6 2 2" xfId="2812"/>
    <cellStyle name="40% - Accent5 6 6 2 2 2" xfId="7123"/>
    <cellStyle name="40% - Accent5 6 6 2 3" xfId="7122"/>
    <cellStyle name="40% - Accent5 6 6 3" xfId="2813"/>
    <cellStyle name="40% - Accent5 6 6 3 2" xfId="7124"/>
    <cellStyle name="40% - Accent5 6 6 4" xfId="7121"/>
    <cellStyle name="40% - Accent5 6 7" xfId="2814"/>
    <cellStyle name="40% - Accent5 6 7 2" xfId="2815"/>
    <cellStyle name="40% - Accent5 6 7 2 2" xfId="2816"/>
    <cellStyle name="40% - Accent5 6 7 2 2 2" xfId="7127"/>
    <cellStyle name="40% - Accent5 6 7 2 3" xfId="7126"/>
    <cellStyle name="40% - Accent5 6 7 3" xfId="2817"/>
    <cellStyle name="40% - Accent5 6 7 3 2" xfId="7128"/>
    <cellStyle name="40% - Accent5 6 7 4" xfId="7125"/>
    <cellStyle name="40% - Accent5 6 8" xfId="2818"/>
    <cellStyle name="40% - Accent5 6 8 2" xfId="2819"/>
    <cellStyle name="40% - Accent5 6 8 2 2" xfId="2820"/>
    <cellStyle name="40% - Accent5 6 8 2 2 2" xfId="7131"/>
    <cellStyle name="40% - Accent5 6 8 2 3" xfId="7130"/>
    <cellStyle name="40% - Accent5 6 8 3" xfId="2821"/>
    <cellStyle name="40% - Accent5 6 8 3 2" xfId="7132"/>
    <cellStyle name="40% - Accent5 6 8 4" xfId="7129"/>
    <cellStyle name="40% - Accent5 6 9" xfId="2822"/>
    <cellStyle name="40% - Accent5 6 9 2" xfId="2823"/>
    <cellStyle name="40% - Accent5 6 9 2 2" xfId="7134"/>
    <cellStyle name="40% - Accent5 6 9 3" xfId="7133"/>
    <cellStyle name="40% - Accent5 7" xfId="2824"/>
    <cellStyle name="40% - Accent5 7 10" xfId="2825"/>
    <cellStyle name="40% - Accent5 7 10 2" xfId="2826"/>
    <cellStyle name="40% - Accent5 7 10 2 2" xfId="7137"/>
    <cellStyle name="40% - Accent5 7 10 3" xfId="7136"/>
    <cellStyle name="40% - Accent5 7 11" xfId="2827"/>
    <cellStyle name="40% - Accent5 7 11 2" xfId="2828"/>
    <cellStyle name="40% - Accent5 7 11 2 2" xfId="7139"/>
    <cellStyle name="40% - Accent5 7 11 3" xfId="7138"/>
    <cellStyle name="40% - Accent5 7 12" xfId="2829"/>
    <cellStyle name="40% - Accent5 7 12 2" xfId="2830"/>
    <cellStyle name="40% - Accent5 7 12 2 2" xfId="7141"/>
    <cellStyle name="40% - Accent5 7 12 3" xfId="7140"/>
    <cellStyle name="40% - Accent5 7 13" xfId="2831"/>
    <cellStyle name="40% - Accent5 7 13 2" xfId="2832"/>
    <cellStyle name="40% - Accent5 7 13 2 2" xfId="7143"/>
    <cellStyle name="40% - Accent5 7 13 3" xfId="7142"/>
    <cellStyle name="40% - Accent5 7 14" xfId="2833"/>
    <cellStyle name="40% - Accent5 7 14 2" xfId="2834"/>
    <cellStyle name="40% - Accent5 7 14 2 2" xfId="7145"/>
    <cellStyle name="40% - Accent5 7 14 3" xfId="7144"/>
    <cellStyle name="40% - Accent5 7 15" xfId="2835"/>
    <cellStyle name="40% - Accent5 7 15 2" xfId="2836"/>
    <cellStyle name="40% - Accent5 7 15 2 2" xfId="7147"/>
    <cellStyle name="40% - Accent5 7 15 3" xfId="7146"/>
    <cellStyle name="40% - Accent5 7 16" xfId="2837"/>
    <cellStyle name="40% - Accent5 7 16 2" xfId="2838"/>
    <cellStyle name="40% - Accent5 7 16 2 2" xfId="7149"/>
    <cellStyle name="40% - Accent5 7 16 3" xfId="7148"/>
    <cellStyle name="40% - Accent5 7 17" xfId="2839"/>
    <cellStyle name="40% - Accent5 7 17 2" xfId="2840"/>
    <cellStyle name="40% - Accent5 7 17 2 2" xfId="7151"/>
    <cellStyle name="40% - Accent5 7 17 3" xfId="7150"/>
    <cellStyle name="40% - Accent5 7 18" xfId="2841"/>
    <cellStyle name="40% - Accent5 7 18 2" xfId="2842"/>
    <cellStyle name="40% - Accent5 7 18 2 2" xfId="7153"/>
    <cellStyle name="40% - Accent5 7 18 3" xfId="7152"/>
    <cellStyle name="40% - Accent5 7 19" xfId="2843"/>
    <cellStyle name="40% - Accent5 7 19 2" xfId="7154"/>
    <cellStyle name="40% - Accent5 7 2" xfId="2844"/>
    <cellStyle name="40% - Accent5 7 2 2" xfId="2845"/>
    <cellStyle name="40% - Accent5 7 2 2 2" xfId="2846"/>
    <cellStyle name="40% - Accent5 7 2 2 2 2" xfId="7157"/>
    <cellStyle name="40% - Accent5 7 2 2 3" xfId="7156"/>
    <cellStyle name="40% - Accent5 7 2 3" xfId="2847"/>
    <cellStyle name="40% - Accent5 7 2 3 2" xfId="7158"/>
    <cellStyle name="40% - Accent5 7 2 4" xfId="7155"/>
    <cellStyle name="40% - Accent5 7 20" xfId="2848"/>
    <cellStyle name="40% - Accent5 7 20 2" xfId="7159"/>
    <cellStyle name="40% - Accent5 7 21" xfId="7135"/>
    <cellStyle name="40% - Accent5 7 3" xfId="2849"/>
    <cellStyle name="40% - Accent5 7 3 2" xfId="2850"/>
    <cellStyle name="40% - Accent5 7 3 2 2" xfId="2851"/>
    <cellStyle name="40% - Accent5 7 3 2 2 2" xfId="7162"/>
    <cellStyle name="40% - Accent5 7 3 2 3" xfId="7161"/>
    <cellStyle name="40% - Accent5 7 3 3" xfId="2852"/>
    <cellStyle name="40% - Accent5 7 3 3 2" xfId="7163"/>
    <cellStyle name="40% - Accent5 7 3 4" xfId="7160"/>
    <cellStyle name="40% - Accent5 7 4" xfId="2853"/>
    <cellStyle name="40% - Accent5 7 4 2" xfId="2854"/>
    <cellStyle name="40% - Accent5 7 4 2 2" xfId="2855"/>
    <cellStyle name="40% - Accent5 7 4 2 2 2" xfId="7166"/>
    <cellStyle name="40% - Accent5 7 4 2 3" xfId="7165"/>
    <cellStyle name="40% - Accent5 7 4 3" xfId="2856"/>
    <cellStyle name="40% - Accent5 7 4 3 2" xfId="7167"/>
    <cellStyle name="40% - Accent5 7 4 4" xfId="7164"/>
    <cellStyle name="40% - Accent5 7 5" xfId="2857"/>
    <cellStyle name="40% - Accent5 7 5 2" xfId="2858"/>
    <cellStyle name="40% - Accent5 7 5 2 2" xfId="2859"/>
    <cellStyle name="40% - Accent5 7 5 2 2 2" xfId="7170"/>
    <cellStyle name="40% - Accent5 7 5 2 3" xfId="7169"/>
    <cellStyle name="40% - Accent5 7 5 3" xfId="2860"/>
    <cellStyle name="40% - Accent5 7 5 3 2" xfId="7171"/>
    <cellStyle name="40% - Accent5 7 5 4" xfId="7168"/>
    <cellStyle name="40% - Accent5 7 6" xfId="2861"/>
    <cellStyle name="40% - Accent5 7 6 2" xfId="2862"/>
    <cellStyle name="40% - Accent5 7 6 2 2" xfId="2863"/>
    <cellStyle name="40% - Accent5 7 6 2 2 2" xfId="7174"/>
    <cellStyle name="40% - Accent5 7 6 2 3" xfId="7173"/>
    <cellStyle name="40% - Accent5 7 6 3" xfId="2864"/>
    <cellStyle name="40% - Accent5 7 6 3 2" xfId="7175"/>
    <cellStyle name="40% - Accent5 7 6 4" xfId="7172"/>
    <cellStyle name="40% - Accent5 7 7" xfId="2865"/>
    <cellStyle name="40% - Accent5 7 7 2" xfId="2866"/>
    <cellStyle name="40% - Accent5 7 7 2 2" xfId="2867"/>
    <cellStyle name="40% - Accent5 7 7 2 2 2" xfId="7178"/>
    <cellStyle name="40% - Accent5 7 7 2 3" xfId="7177"/>
    <cellStyle name="40% - Accent5 7 7 3" xfId="2868"/>
    <cellStyle name="40% - Accent5 7 7 3 2" xfId="7179"/>
    <cellStyle name="40% - Accent5 7 7 4" xfId="7176"/>
    <cellStyle name="40% - Accent5 7 8" xfId="2869"/>
    <cellStyle name="40% - Accent5 7 8 2" xfId="2870"/>
    <cellStyle name="40% - Accent5 7 8 2 2" xfId="2871"/>
    <cellStyle name="40% - Accent5 7 8 2 2 2" xfId="7182"/>
    <cellStyle name="40% - Accent5 7 8 2 3" xfId="7181"/>
    <cellStyle name="40% - Accent5 7 8 3" xfId="2872"/>
    <cellStyle name="40% - Accent5 7 8 3 2" xfId="7183"/>
    <cellStyle name="40% - Accent5 7 8 4" xfId="7180"/>
    <cellStyle name="40% - Accent5 7 9" xfId="2873"/>
    <cellStyle name="40% - Accent5 7 9 2" xfId="2874"/>
    <cellStyle name="40% - Accent5 7 9 2 2" xfId="7185"/>
    <cellStyle name="40% - Accent5 7 9 3" xfId="7184"/>
    <cellStyle name="40% - Accent5 8" xfId="2875"/>
    <cellStyle name="40% - Accent5 8 10" xfId="2876"/>
    <cellStyle name="40% - Accent5 8 10 2" xfId="2877"/>
    <cellStyle name="40% - Accent5 8 10 2 2" xfId="7188"/>
    <cellStyle name="40% - Accent5 8 10 3" xfId="7187"/>
    <cellStyle name="40% - Accent5 8 11" xfId="2878"/>
    <cellStyle name="40% - Accent5 8 11 2" xfId="2879"/>
    <cellStyle name="40% - Accent5 8 11 2 2" xfId="7190"/>
    <cellStyle name="40% - Accent5 8 11 3" xfId="7189"/>
    <cellStyle name="40% - Accent5 8 12" xfId="2880"/>
    <cellStyle name="40% - Accent5 8 12 2" xfId="2881"/>
    <cellStyle name="40% - Accent5 8 12 2 2" xfId="7192"/>
    <cellStyle name="40% - Accent5 8 12 3" xfId="7191"/>
    <cellStyle name="40% - Accent5 8 13" xfId="2882"/>
    <cellStyle name="40% - Accent5 8 13 2" xfId="2883"/>
    <cellStyle name="40% - Accent5 8 13 2 2" xfId="7194"/>
    <cellStyle name="40% - Accent5 8 13 3" xfId="7193"/>
    <cellStyle name="40% - Accent5 8 14" xfId="2884"/>
    <cellStyle name="40% - Accent5 8 14 2" xfId="2885"/>
    <cellStyle name="40% - Accent5 8 14 2 2" xfId="7196"/>
    <cellStyle name="40% - Accent5 8 14 3" xfId="7195"/>
    <cellStyle name="40% - Accent5 8 15" xfId="2886"/>
    <cellStyle name="40% - Accent5 8 15 2" xfId="2887"/>
    <cellStyle name="40% - Accent5 8 15 2 2" xfId="7198"/>
    <cellStyle name="40% - Accent5 8 15 3" xfId="7197"/>
    <cellStyle name="40% - Accent5 8 16" xfId="2888"/>
    <cellStyle name="40% - Accent5 8 16 2" xfId="2889"/>
    <cellStyle name="40% - Accent5 8 16 2 2" xfId="7200"/>
    <cellStyle name="40% - Accent5 8 16 3" xfId="7199"/>
    <cellStyle name="40% - Accent5 8 17" xfId="2890"/>
    <cellStyle name="40% - Accent5 8 17 2" xfId="2891"/>
    <cellStyle name="40% - Accent5 8 17 2 2" xfId="7202"/>
    <cellStyle name="40% - Accent5 8 17 3" xfId="7201"/>
    <cellStyle name="40% - Accent5 8 18" xfId="2892"/>
    <cellStyle name="40% - Accent5 8 18 2" xfId="2893"/>
    <cellStyle name="40% - Accent5 8 18 2 2" xfId="7204"/>
    <cellStyle name="40% - Accent5 8 18 3" xfId="7203"/>
    <cellStyle name="40% - Accent5 8 19" xfId="2894"/>
    <cellStyle name="40% - Accent5 8 19 2" xfId="7205"/>
    <cellStyle name="40% - Accent5 8 2" xfId="2895"/>
    <cellStyle name="40% - Accent5 8 2 2" xfId="2896"/>
    <cellStyle name="40% - Accent5 8 2 2 2" xfId="2897"/>
    <cellStyle name="40% - Accent5 8 2 2 2 2" xfId="7208"/>
    <cellStyle name="40% - Accent5 8 2 2 3" xfId="7207"/>
    <cellStyle name="40% - Accent5 8 2 3" xfId="2898"/>
    <cellStyle name="40% - Accent5 8 2 3 2" xfId="7209"/>
    <cellStyle name="40% - Accent5 8 2 4" xfId="7206"/>
    <cellStyle name="40% - Accent5 8 20" xfId="2899"/>
    <cellStyle name="40% - Accent5 8 20 2" xfId="7210"/>
    <cellStyle name="40% - Accent5 8 21" xfId="7186"/>
    <cellStyle name="40% - Accent5 8 3" xfId="2900"/>
    <cellStyle name="40% - Accent5 8 3 2" xfId="2901"/>
    <cellStyle name="40% - Accent5 8 3 2 2" xfId="2902"/>
    <cellStyle name="40% - Accent5 8 3 2 2 2" xfId="7213"/>
    <cellStyle name="40% - Accent5 8 3 2 3" xfId="7212"/>
    <cellStyle name="40% - Accent5 8 3 3" xfId="2903"/>
    <cellStyle name="40% - Accent5 8 3 3 2" xfId="7214"/>
    <cellStyle name="40% - Accent5 8 3 4" xfId="7211"/>
    <cellStyle name="40% - Accent5 8 4" xfId="2904"/>
    <cellStyle name="40% - Accent5 8 4 2" xfId="2905"/>
    <cellStyle name="40% - Accent5 8 4 2 2" xfId="2906"/>
    <cellStyle name="40% - Accent5 8 4 2 2 2" xfId="7217"/>
    <cellStyle name="40% - Accent5 8 4 2 3" xfId="7216"/>
    <cellStyle name="40% - Accent5 8 4 3" xfId="2907"/>
    <cellStyle name="40% - Accent5 8 4 3 2" xfId="7218"/>
    <cellStyle name="40% - Accent5 8 4 4" xfId="7215"/>
    <cellStyle name="40% - Accent5 8 5" xfId="2908"/>
    <cellStyle name="40% - Accent5 8 5 2" xfId="2909"/>
    <cellStyle name="40% - Accent5 8 5 2 2" xfId="2910"/>
    <cellStyle name="40% - Accent5 8 5 2 2 2" xfId="7221"/>
    <cellStyle name="40% - Accent5 8 5 2 3" xfId="7220"/>
    <cellStyle name="40% - Accent5 8 5 3" xfId="2911"/>
    <cellStyle name="40% - Accent5 8 5 3 2" xfId="7222"/>
    <cellStyle name="40% - Accent5 8 5 4" xfId="7219"/>
    <cellStyle name="40% - Accent5 8 6" xfId="2912"/>
    <cellStyle name="40% - Accent5 8 6 2" xfId="2913"/>
    <cellStyle name="40% - Accent5 8 6 2 2" xfId="2914"/>
    <cellStyle name="40% - Accent5 8 6 2 2 2" xfId="7225"/>
    <cellStyle name="40% - Accent5 8 6 2 3" xfId="7224"/>
    <cellStyle name="40% - Accent5 8 6 3" xfId="2915"/>
    <cellStyle name="40% - Accent5 8 6 3 2" xfId="7226"/>
    <cellStyle name="40% - Accent5 8 6 4" xfId="7223"/>
    <cellStyle name="40% - Accent5 8 7" xfId="2916"/>
    <cellStyle name="40% - Accent5 8 7 2" xfId="2917"/>
    <cellStyle name="40% - Accent5 8 7 2 2" xfId="2918"/>
    <cellStyle name="40% - Accent5 8 7 2 2 2" xfId="7229"/>
    <cellStyle name="40% - Accent5 8 7 2 3" xfId="7228"/>
    <cellStyle name="40% - Accent5 8 7 3" xfId="2919"/>
    <cellStyle name="40% - Accent5 8 7 3 2" xfId="7230"/>
    <cellStyle name="40% - Accent5 8 7 4" xfId="7227"/>
    <cellStyle name="40% - Accent5 8 8" xfId="2920"/>
    <cellStyle name="40% - Accent5 8 8 2" xfId="2921"/>
    <cellStyle name="40% - Accent5 8 8 2 2" xfId="2922"/>
    <cellStyle name="40% - Accent5 8 8 2 2 2" xfId="7233"/>
    <cellStyle name="40% - Accent5 8 8 2 3" xfId="7232"/>
    <cellStyle name="40% - Accent5 8 8 3" xfId="2923"/>
    <cellStyle name="40% - Accent5 8 8 3 2" xfId="7234"/>
    <cellStyle name="40% - Accent5 8 8 4" xfId="7231"/>
    <cellStyle name="40% - Accent5 8 9" xfId="2924"/>
    <cellStyle name="40% - Accent5 8 9 2" xfId="2925"/>
    <cellStyle name="40% - Accent5 8 9 2 2" xfId="7236"/>
    <cellStyle name="40% - Accent5 8 9 3" xfId="7235"/>
    <cellStyle name="40% - Accent6" xfId="45" builtinId="51" customBuiltin="1"/>
    <cellStyle name="40% - Accent6 2" xfId="46"/>
    <cellStyle name="40% - Accent6 2 2" xfId="47"/>
    <cellStyle name="40% - Accent6 3" xfId="48"/>
    <cellStyle name="40% - Accent6 4" xfId="2926"/>
    <cellStyle name="40% - Accent6 4 10" xfId="2927"/>
    <cellStyle name="40% - Accent6 4 10 2" xfId="2928"/>
    <cellStyle name="40% - Accent6 4 10 2 2" xfId="7239"/>
    <cellStyle name="40% - Accent6 4 10 3" xfId="7238"/>
    <cellStyle name="40% - Accent6 4 11" xfId="2929"/>
    <cellStyle name="40% - Accent6 4 11 2" xfId="2930"/>
    <cellStyle name="40% - Accent6 4 11 2 2" xfId="7241"/>
    <cellStyle name="40% - Accent6 4 11 3" xfId="7240"/>
    <cellStyle name="40% - Accent6 4 12" xfId="2931"/>
    <cellStyle name="40% - Accent6 4 12 2" xfId="2932"/>
    <cellStyle name="40% - Accent6 4 12 2 2" xfId="7243"/>
    <cellStyle name="40% - Accent6 4 12 3" xfId="7242"/>
    <cellStyle name="40% - Accent6 4 13" xfId="2933"/>
    <cellStyle name="40% - Accent6 4 13 2" xfId="2934"/>
    <cellStyle name="40% - Accent6 4 13 2 2" xfId="7245"/>
    <cellStyle name="40% - Accent6 4 13 3" xfId="7244"/>
    <cellStyle name="40% - Accent6 4 14" xfId="2935"/>
    <cellStyle name="40% - Accent6 4 14 2" xfId="2936"/>
    <cellStyle name="40% - Accent6 4 14 2 2" xfId="7247"/>
    <cellStyle name="40% - Accent6 4 14 3" xfId="7246"/>
    <cellStyle name="40% - Accent6 4 15" xfId="2937"/>
    <cellStyle name="40% - Accent6 4 15 2" xfId="2938"/>
    <cellStyle name="40% - Accent6 4 15 2 2" xfId="7249"/>
    <cellStyle name="40% - Accent6 4 15 3" xfId="7248"/>
    <cellStyle name="40% - Accent6 4 16" xfId="2939"/>
    <cellStyle name="40% - Accent6 4 16 2" xfId="2940"/>
    <cellStyle name="40% - Accent6 4 16 2 2" xfId="7251"/>
    <cellStyle name="40% - Accent6 4 16 3" xfId="7250"/>
    <cellStyle name="40% - Accent6 4 17" xfId="2941"/>
    <cellStyle name="40% - Accent6 4 17 2" xfId="2942"/>
    <cellStyle name="40% - Accent6 4 17 2 2" xfId="7253"/>
    <cellStyle name="40% - Accent6 4 17 3" xfId="7252"/>
    <cellStyle name="40% - Accent6 4 18" xfId="2943"/>
    <cellStyle name="40% - Accent6 4 18 2" xfId="2944"/>
    <cellStyle name="40% - Accent6 4 18 2 2" xfId="7255"/>
    <cellStyle name="40% - Accent6 4 18 3" xfId="7254"/>
    <cellStyle name="40% - Accent6 4 19" xfId="2945"/>
    <cellStyle name="40% - Accent6 4 19 2" xfId="7256"/>
    <cellStyle name="40% - Accent6 4 2" xfId="2946"/>
    <cellStyle name="40% - Accent6 4 2 2" xfId="2947"/>
    <cellStyle name="40% - Accent6 4 2 2 2" xfId="2948"/>
    <cellStyle name="40% - Accent6 4 2 2 2 2" xfId="7259"/>
    <cellStyle name="40% - Accent6 4 2 2 3" xfId="7258"/>
    <cellStyle name="40% - Accent6 4 2 3" xfId="2949"/>
    <cellStyle name="40% - Accent6 4 2 3 2" xfId="7260"/>
    <cellStyle name="40% - Accent6 4 2 4" xfId="7257"/>
    <cellStyle name="40% - Accent6 4 20" xfId="2950"/>
    <cellStyle name="40% - Accent6 4 20 2" xfId="7261"/>
    <cellStyle name="40% - Accent6 4 21" xfId="7237"/>
    <cellStyle name="40% - Accent6 4 3" xfId="2951"/>
    <cellStyle name="40% - Accent6 4 3 2" xfId="2952"/>
    <cellStyle name="40% - Accent6 4 3 2 2" xfId="2953"/>
    <cellStyle name="40% - Accent6 4 3 2 2 2" xfId="7264"/>
    <cellStyle name="40% - Accent6 4 3 2 3" xfId="7263"/>
    <cellStyle name="40% - Accent6 4 3 3" xfId="2954"/>
    <cellStyle name="40% - Accent6 4 3 3 2" xfId="7265"/>
    <cellStyle name="40% - Accent6 4 3 4" xfId="7262"/>
    <cellStyle name="40% - Accent6 4 4" xfId="2955"/>
    <cellStyle name="40% - Accent6 4 4 2" xfId="2956"/>
    <cellStyle name="40% - Accent6 4 4 2 2" xfId="2957"/>
    <cellStyle name="40% - Accent6 4 4 2 2 2" xfId="7268"/>
    <cellStyle name="40% - Accent6 4 4 2 3" xfId="7267"/>
    <cellStyle name="40% - Accent6 4 4 3" xfId="2958"/>
    <cellStyle name="40% - Accent6 4 4 3 2" xfId="7269"/>
    <cellStyle name="40% - Accent6 4 4 4" xfId="7266"/>
    <cellStyle name="40% - Accent6 4 5" xfId="2959"/>
    <cellStyle name="40% - Accent6 4 5 2" xfId="2960"/>
    <cellStyle name="40% - Accent6 4 5 2 2" xfId="2961"/>
    <cellStyle name="40% - Accent6 4 5 2 2 2" xfId="7272"/>
    <cellStyle name="40% - Accent6 4 5 2 3" xfId="7271"/>
    <cellStyle name="40% - Accent6 4 5 3" xfId="2962"/>
    <cellStyle name="40% - Accent6 4 5 3 2" xfId="7273"/>
    <cellStyle name="40% - Accent6 4 5 4" xfId="7270"/>
    <cellStyle name="40% - Accent6 4 6" xfId="2963"/>
    <cellStyle name="40% - Accent6 4 6 2" xfId="2964"/>
    <cellStyle name="40% - Accent6 4 6 2 2" xfId="2965"/>
    <cellStyle name="40% - Accent6 4 6 2 2 2" xfId="7276"/>
    <cellStyle name="40% - Accent6 4 6 2 3" xfId="7275"/>
    <cellStyle name="40% - Accent6 4 6 3" xfId="2966"/>
    <cellStyle name="40% - Accent6 4 6 3 2" xfId="7277"/>
    <cellStyle name="40% - Accent6 4 6 4" xfId="7274"/>
    <cellStyle name="40% - Accent6 4 7" xfId="2967"/>
    <cellStyle name="40% - Accent6 4 7 2" xfId="2968"/>
    <cellStyle name="40% - Accent6 4 7 2 2" xfId="2969"/>
    <cellStyle name="40% - Accent6 4 7 2 2 2" xfId="7280"/>
    <cellStyle name="40% - Accent6 4 7 2 3" xfId="7279"/>
    <cellStyle name="40% - Accent6 4 7 3" xfId="2970"/>
    <cellStyle name="40% - Accent6 4 7 3 2" xfId="7281"/>
    <cellStyle name="40% - Accent6 4 7 4" xfId="7278"/>
    <cellStyle name="40% - Accent6 4 8" xfId="2971"/>
    <cellStyle name="40% - Accent6 4 8 2" xfId="2972"/>
    <cellStyle name="40% - Accent6 4 8 2 2" xfId="2973"/>
    <cellStyle name="40% - Accent6 4 8 2 2 2" xfId="7284"/>
    <cellStyle name="40% - Accent6 4 8 2 3" xfId="7283"/>
    <cellStyle name="40% - Accent6 4 8 3" xfId="2974"/>
    <cellStyle name="40% - Accent6 4 8 3 2" xfId="7285"/>
    <cellStyle name="40% - Accent6 4 8 4" xfId="7282"/>
    <cellStyle name="40% - Accent6 4 9" xfId="2975"/>
    <cellStyle name="40% - Accent6 4 9 2" xfId="2976"/>
    <cellStyle name="40% - Accent6 4 9 2 2" xfId="7287"/>
    <cellStyle name="40% - Accent6 4 9 3" xfId="7286"/>
    <cellStyle name="40% - Accent6 5" xfId="2977"/>
    <cellStyle name="40% - Accent6 5 10" xfId="2978"/>
    <cellStyle name="40% - Accent6 5 10 2" xfId="2979"/>
    <cellStyle name="40% - Accent6 5 10 2 2" xfId="7290"/>
    <cellStyle name="40% - Accent6 5 10 3" xfId="7289"/>
    <cellStyle name="40% - Accent6 5 11" xfId="2980"/>
    <cellStyle name="40% - Accent6 5 11 2" xfId="2981"/>
    <cellStyle name="40% - Accent6 5 11 2 2" xfId="7292"/>
    <cellStyle name="40% - Accent6 5 11 3" xfId="7291"/>
    <cellStyle name="40% - Accent6 5 12" xfId="2982"/>
    <cellStyle name="40% - Accent6 5 12 2" xfId="2983"/>
    <cellStyle name="40% - Accent6 5 12 2 2" xfId="7294"/>
    <cellStyle name="40% - Accent6 5 12 3" xfId="7293"/>
    <cellStyle name="40% - Accent6 5 13" xfId="2984"/>
    <cellStyle name="40% - Accent6 5 13 2" xfId="2985"/>
    <cellStyle name="40% - Accent6 5 13 2 2" xfId="7296"/>
    <cellStyle name="40% - Accent6 5 13 3" xfId="7295"/>
    <cellStyle name="40% - Accent6 5 14" xfId="2986"/>
    <cellStyle name="40% - Accent6 5 14 2" xfId="2987"/>
    <cellStyle name="40% - Accent6 5 14 2 2" xfId="7298"/>
    <cellStyle name="40% - Accent6 5 14 3" xfId="7297"/>
    <cellStyle name="40% - Accent6 5 15" xfId="2988"/>
    <cellStyle name="40% - Accent6 5 15 2" xfId="2989"/>
    <cellStyle name="40% - Accent6 5 15 2 2" xfId="7300"/>
    <cellStyle name="40% - Accent6 5 15 3" xfId="7299"/>
    <cellStyle name="40% - Accent6 5 16" xfId="2990"/>
    <cellStyle name="40% - Accent6 5 16 2" xfId="2991"/>
    <cellStyle name="40% - Accent6 5 16 2 2" xfId="7302"/>
    <cellStyle name="40% - Accent6 5 16 3" xfId="7301"/>
    <cellStyle name="40% - Accent6 5 17" xfId="2992"/>
    <cellStyle name="40% - Accent6 5 17 2" xfId="2993"/>
    <cellStyle name="40% - Accent6 5 17 2 2" xfId="7304"/>
    <cellStyle name="40% - Accent6 5 17 3" xfId="7303"/>
    <cellStyle name="40% - Accent6 5 18" xfId="2994"/>
    <cellStyle name="40% - Accent6 5 18 2" xfId="2995"/>
    <cellStyle name="40% - Accent6 5 18 2 2" xfId="7306"/>
    <cellStyle name="40% - Accent6 5 18 3" xfId="7305"/>
    <cellStyle name="40% - Accent6 5 19" xfId="2996"/>
    <cellStyle name="40% - Accent6 5 19 2" xfId="7307"/>
    <cellStyle name="40% - Accent6 5 2" xfId="2997"/>
    <cellStyle name="40% - Accent6 5 2 2" xfId="2998"/>
    <cellStyle name="40% - Accent6 5 2 2 2" xfId="2999"/>
    <cellStyle name="40% - Accent6 5 2 2 2 2" xfId="7310"/>
    <cellStyle name="40% - Accent6 5 2 2 3" xfId="7309"/>
    <cellStyle name="40% - Accent6 5 2 3" xfId="3000"/>
    <cellStyle name="40% - Accent6 5 2 3 2" xfId="7311"/>
    <cellStyle name="40% - Accent6 5 2 4" xfId="7308"/>
    <cellStyle name="40% - Accent6 5 20" xfId="3001"/>
    <cellStyle name="40% - Accent6 5 20 2" xfId="7312"/>
    <cellStyle name="40% - Accent6 5 21" xfId="7288"/>
    <cellStyle name="40% - Accent6 5 3" xfId="3002"/>
    <cellStyle name="40% - Accent6 5 3 2" xfId="3003"/>
    <cellStyle name="40% - Accent6 5 3 2 2" xfId="3004"/>
    <cellStyle name="40% - Accent6 5 3 2 2 2" xfId="7315"/>
    <cellStyle name="40% - Accent6 5 3 2 3" xfId="7314"/>
    <cellStyle name="40% - Accent6 5 3 3" xfId="3005"/>
    <cellStyle name="40% - Accent6 5 3 3 2" xfId="7316"/>
    <cellStyle name="40% - Accent6 5 3 4" xfId="7313"/>
    <cellStyle name="40% - Accent6 5 4" xfId="3006"/>
    <cellStyle name="40% - Accent6 5 4 2" xfId="3007"/>
    <cellStyle name="40% - Accent6 5 4 2 2" xfId="3008"/>
    <cellStyle name="40% - Accent6 5 4 2 2 2" xfId="7319"/>
    <cellStyle name="40% - Accent6 5 4 2 3" xfId="7318"/>
    <cellStyle name="40% - Accent6 5 4 3" xfId="3009"/>
    <cellStyle name="40% - Accent6 5 4 3 2" xfId="7320"/>
    <cellStyle name="40% - Accent6 5 4 4" xfId="7317"/>
    <cellStyle name="40% - Accent6 5 5" xfId="3010"/>
    <cellStyle name="40% - Accent6 5 5 2" xfId="3011"/>
    <cellStyle name="40% - Accent6 5 5 2 2" xfId="3012"/>
    <cellStyle name="40% - Accent6 5 5 2 2 2" xfId="7323"/>
    <cellStyle name="40% - Accent6 5 5 2 3" xfId="7322"/>
    <cellStyle name="40% - Accent6 5 5 3" xfId="3013"/>
    <cellStyle name="40% - Accent6 5 5 3 2" xfId="7324"/>
    <cellStyle name="40% - Accent6 5 5 4" xfId="7321"/>
    <cellStyle name="40% - Accent6 5 6" xfId="3014"/>
    <cellStyle name="40% - Accent6 5 6 2" xfId="3015"/>
    <cellStyle name="40% - Accent6 5 6 2 2" xfId="3016"/>
    <cellStyle name="40% - Accent6 5 6 2 2 2" xfId="7327"/>
    <cellStyle name="40% - Accent6 5 6 2 3" xfId="7326"/>
    <cellStyle name="40% - Accent6 5 6 3" xfId="3017"/>
    <cellStyle name="40% - Accent6 5 6 3 2" xfId="7328"/>
    <cellStyle name="40% - Accent6 5 6 4" xfId="7325"/>
    <cellStyle name="40% - Accent6 5 7" xfId="3018"/>
    <cellStyle name="40% - Accent6 5 7 2" xfId="3019"/>
    <cellStyle name="40% - Accent6 5 7 2 2" xfId="3020"/>
    <cellStyle name="40% - Accent6 5 7 2 2 2" xfId="7331"/>
    <cellStyle name="40% - Accent6 5 7 2 3" xfId="7330"/>
    <cellStyle name="40% - Accent6 5 7 3" xfId="3021"/>
    <cellStyle name="40% - Accent6 5 7 3 2" xfId="7332"/>
    <cellStyle name="40% - Accent6 5 7 4" xfId="7329"/>
    <cellStyle name="40% - Accent6 5 8" xfId="3022"/>
    <cellStyle name="40% - Accent6 5 8 2" xfId="3023"/>
    <cellStyle name="40% - Accent6 5 8 2 2" xfId="3024"/>
    <cellStyle name="40% - Accent6 5 8 2 2 2" xfId="7335"/>
    <cellStyle name="40% - Accent6 5 8 2 3" xfId="7334"/>
    <cellStyle name="40% - Accent6 5 8 3" xfId="3025"/>
    <cellStyle name="40% - Accent6 5 8 3 2" xfId="7336"/>
    <cellStyle name="40% - Accent6 5 8 4" xfId="7333"/>
    <cellStyle name="40% - Accent6 5 9" xfId="3026"/>
    <cellStyle name="40% - Accent6 5 9 2" xfId="3027"/>
    <cellStyle name="40% - Accent6 5 9 2 2" xfId="7338"/>
    <cellStyle name="40% - Accent6 5 9 3" xfId="7337"/>
    <cellStyle name="40% - Accent6 6" xfId="3028"/>
    <cellStyle name="40% - Accent6 6 10" xfId="3029"/>
    <cellStyle name="40% - Accent6 6 10 2" xfId="3030"/>
    <cellStyle name="40% - Accent6 6 10 2 2" xfId="7341"/>
    <cellStyle name="40% - Accent6 6 10 3" xfId="7340"/>
    <cellStyle name="40% - Accent6 6 11" xfId="3031"/>
    <cellStyle name="40% - Accent6 6 11 2" xfId="3032"/>
    <cellStyle name="40% - Accent6 6 11 2 2" xfId="7343"/>
    <cellStyle name="40% - Accent6 6 11 3" xfId="7342"/>
    <cellStyle name="40% - Accent6 6 12" xfId="3033"/>
    <cellStyle name="40% - Accent6 6 12 2" xfId="3034"/>
    <cellStyle name="40% - Accent6 6 12 2 2" xfId="7345"/>
    <cellStyle name="40% - Accent6 6 12 3" xfId="7344"/>
    <cellStyle name="40% - Accent6 6 13" xfId="3035"/>
    <cellStyle name="40% - Accent6 6 13 2" xfId="3036"/>
    <cellStyle name="40% - Accent6 6 13 2 2" xfId="7347"/>
    <cellStyle name="40% - Accent6 6 13 3" xfId="7346"/>
    <cellStyle name="40% - Accent6 6 14" xfId="3037"/>
    <cellStyle name="40% - Accent6 6 14 2" xfId="3038"/>
    <cellStyle name="40% - Accent6 6 14 2 2" xfId="7349"/>
    <cellStyle name="40% - Accent6 6 14 3" xfId="7348"/>
    <cellStyle name="40% - Accent6 6 15" xfId="3039"/>
    <cellStyle name="40% - Accent6 6 15 2" xfId="3040"/>
    <cellStyle name="40% - Accent6 6 15 2 2" xfId="7351"/>
    <cellStyle name="40% - Accent6 6 15 3" xfId="7350"/>
    <cellStyle name="40% - Accent6 6 16" xfId="3041"/>
    <cellStyle name="40% - Accent6 6 16 2" xfId="3042"/>
    <cellStyle name="40% - Accent6 6 16 2 2" xfId="7353"/>
    <cellStyle name="40% - Accent6 6 16 3" xfId="7352"/>
    <cellStyle name="40% - Accent6 6 17" xfId="3043"/>
    <cellStyle name="40% - Accent6 6 17 2" xfId="3044"/>
    <cellStyle name="40% - Accent6 6 17 2 2" xfId="7355"/>
    <cellStyle name="40% - Accent6 6 17 3" xfId="7354"/>
    <cellStyle name="40% - Accent6 6 18" xfId="3045"/>
    <cellStyle name="40% - Accent6 6 18 2" xfId="3046"/>
    <cellStyle name="40% - Accent6 6 18 2 2" xfId="7357"/>
    <cellStyle name="40% - Accent6 6 18 3" xfId="7356"/>
    <cellStyle name="40% - Accent6 6 19" xfId="3047"/>
    <cellStyle name="40% - Accent6 6 19 2" xfId="7358"/>
    <cellStyle name="40% - Accent6 6 2" xfId="3048"/>
    <cellStyle name="40% - Accent6 6 2 2" xfId="3049"/>
    <cellStyle name="40% - Accent6 6 2 2 2" xfId="3050"/>
    <cellStyle name="40% - Accent6 6 2 2 2 2" xfId="7361"/>
    <cellStyle name="40% - Accent6 6 2 2 3" xfId="7360"/>
    <cellStyle name="40% - Accent6 6 2 3" xfId="3051"/>
    <cellStyle name="40% - Accent6 6 2 3 2" xfId="7362"/>
    <cellStyle name="40% - Accent6 6 2 4" xfId="7359"/>
    <cellStyle name="40% - Accent6 6 20" xfId="3052"/>
    <cellStyle name="40% - Accent6 6 20 2" xfId="7363"/>
    <cellStyle name="40% - Accent6 6 21" xfId="7339"/>
    <cellStyle name="40% - Accent6 6 3" xfId="3053"/>
    <cellStyle name="40% - Accent6 6 3 2" xfId="3054"/>
    <cellStyle name="40% - Accent6 6 3 2 2" xfId="3055"/>
    <cellStyle name="40% - Accent6 6 3 2 2 2" xfId="7366"/>
    <cellStyle name="40% - Accent6 6 3 2 3" xfId="7365"/>
    <cellStyle name="40% - Accent6 6 3 3" xfId="3056"/>
    <cellStyle name="40% - Accent6 6 3 3 2" xfId="7367"/>
    <cellStyle name="40% - Accent6 6 3 4" xfId="7364"/>
    <cellStyle name="40% - Accent6 6 4" xfId="3057"/>
    <cellStyle name="40% - Accent6 6 4 2" xfId="3058"/>
    <cellStyle name="40% - Accent6 6 4 2 2" xfId="3059"/>
    <cellStyle name="40% - Accent6 6 4 2 2 2" xfId="7370"/>
    <cellStyle name="40% - Accent6 6 4 2 3" xfId="7369"/>
    <cellStyle name="40% - Accent6 6 4 3" xfId="3060"/>
    <cellStyle name="40% - Accent6 6 4 3 2" xfId="7371"/>
    <cellStyle name="40% - Accent6 6 4 4" xfId="7368"/>
    <cellStyle name="40% - Accent6 6 5" xfId="3061"/>
    <cellStyle name="40% - Accent6 6 5 2" xfId="3062"/>
    <cellStyle name="40% - Accent6 6 5 2 2" xfId="3063"/>
    <cellStyle name="40% - Accent6 6 5 2 2 2" xfId="7374"/>
    <cellStyle name="40% - Accent6 6 5 2 3" xfId="7373"/>
    <cellStyle name="40% - Accent6 6 5 3" xfId="3064"/>
    <cellStyle name="40% - Accent6 6 5 3 2" xfId="7375"/>
    <cellStyle name="40% - Accent6 6 5 4" xfId="7372"/>
    <cellStyle name="40% - Accent6 6 6" xfId="3065"/>
    <cellStyle name="40% - Accent6 6 6 2" xfId="3066"/>
    <cellStyle name="40% - Accent6 6 6 2 2" xfId="3067"/>
    <cellStyle name="40% - Accent6 6 6 2 2 2" xfId="7378"/>
    <cellStyle name="40% - Accent6 6 6 2 3" xfId="7377"/>
    <cellStyle name="40% - Accent6 6 6 3" xfId="3068"/>
    <cellStyle name="40% - Accent6 6 6 3 2" xfId="7379"/>
    <cellStyle name="40% - Accent6 6 6 4" xfId="7376"/>
    <cellStyle name="40% - Accent6 6 7" xfId="3069"/>
    <cellStyle name="40% - Accent6 6 7 2" xfId="3070"/>
    <cellStyle name="40% - Accent6 6 7 2 2" xfId="3071"/>
    <cellStyle name="40% - Accent6 6 7 2 2 2" xfId="7382"/>
    <cellStyle name="40% - Accent6 6 7 2 3" xfId="7381"/>
    <cellStyle name="40% - Accent6 6 7 3" xfId="3072"/>
    <cellStyle name="40% - Accent6 6 7 3 2" xfId="7383"/>
    <cellStyle name="40% - Accent6 6 7 4" xfId="7380"/>
    <cellStyle name="40% - Accent6 6 8" xfId="3073"/>
    <cellStyle name="40% - Accent6 6 8 2" xfId="3074"/>
    <cellStyle name="40% - Accent6 6 8 2 2" xfId="3075"/>
    <cellStyle name="40% - Accent6 6 8 2 2 2" xfId="7386"/>
    <cellStyle name="40% - Accent6 6 8 2 3" xfId="7385"/>
    <cellStyle name="40% - Accent6 6 8 3" xfId="3076"/>
    <cellStyle name="40% - Accent6 6 8 3 2" xfId="7387"/>
    <cellStyle name="40% - Accent6 6 8 4" xfId="7384"/>
    <cellStyle name="40% - Accent6 6 9" xfId="3077"/>
    <cellStyle name="40% - Accent6 6 9 2" xfId="3078"/>
    <cellStyle name="40% - Accent6 6 9 2 2" xfId="7389"/>
    <cellStyle name="40% - Accent6 6 9 3" xfId="7388"/>
    <cellStyle name="40% - Accent6 7" xfId="3079"/>
    <cellStyle name="40% - Accent6 7 10" xfId="3080"/>
    <cellStyle name="40% - Accent6 7 10 2" xfId="3081"/>
    <cellStyle name="40% - Accent6 7 10 2 2" xfId="7392"/>
    <cellStyle name="40% - Accent6 7 10 3" xfId="7391"/>
    <cellStyle name="40% - Accent6 7 11" xfId="3082"/>
    <cellStyle name="40% - Accent6 7 11 2" xfId="3083"/>
    <cellStyle name="40% - Accent6 7 11 2 2" xfId="7394"/>
    <cellStyle name="40% - Accent6 7 11 3" xfId="7393"/>
    <cellStyle name="40% - Accent6 7 12" xfId="3084"/>
    <cellStyle name="40% - Accent6 7 12 2" xfId="3085"/>
    <cellStyle name="40% - Accent6 7 12 2 2" xfId="7396"/>
    <cellStyle name="40% - Accent6 7 12 3" xfId="7395"/>
    <cellStyle name="40% - Accent6 7 13" xfId="3086"/>
    <cellStyle name="40% - Accent6 7 13 2" xfId="3087"/>
    <cellStyle name="40% - Accent6 7 13 2 2" xfId="7398"/>
    <cellStyle name="40% - Accent6 7 13 3" xfId="7397"/>
    <cellStyle name="40% - Accent6 7 14" xfId="3088"/>
    <cellStyle name="40% - Accent6 7 14 2" xfId="3089"/>
    <cellStyle name="40% - Accent6 7 14 2 2" xfId="7400"/>
    <cellStyle name="40% - Accent6 7 14 3" xfId="7399"/>
    <cellStyle name="40% - Accent6 7 15" xfId="3090"/>
    <cellStyle name="40% - Accent6 7 15 2" xfId="3091"/>
    <cellStyle name="40% - Accent6 7 15 2 2" xfId="7402"/>
    <cellStyle name="40% - Accent6 7 15 3" xfId="7401"/>
    <cellStyle name="40% - Accent6 7 16" xfId="3092"/>
    <cellStyle name="40% - Accent6 7 16 2" xfId="3093"/>
    <cellStyle name="40% - Accent6 7 16 2 2" xfId="7404"/>
    <cellStyle name="40% - Accent6 7 16 3" xfId="7403"/>
    <cellStyle name="40% - Accent6 7 17" xfId="3094"/>
    <cellStyle name="40% - Accent6 7 17 2" xfId="3095"/>
    <cellStyle name="40% - Accent6 7 17 2 2" xfId="7406"/>
    <cellStyle name="40% - Accent6 7 17 3" xfId="7405"/>
    <cellStyle name="40% - Accent6 7 18" xfId="3096"/>
    <cellStyle name="40% - Accent6 7 18 2" xfId="3097"/>
    <cellStyle name="40% - Accent6 7 18 2 2" xfId="7408"/>
    <cellStyle name="40% - Accent6 7 18 3" xfId="7407"/>
    <cellStyle name="40% - Accent6 7 19" xfId="3098"/>
    <cellStyle name="40% - Accent6 7 19 2" xfId="7409"/>
    <cellStyle name="40% - Accent6 7 2" xfId="3099"/>
    <cellStyle name="40% - Accent6 7 2 2" xfId="3100"/>
    <cellStyle name="40% - Accent6 7 2 2 2" xfId="3101"/>
    <cellStyle name="40% - Accent6 7 2 2 2 2" xfId="7412"/>
    <cellStyle name="40% - Accent6 7 2 2 3" xfId="7411"/>
    <cellStyle name="40% - Accent6 7 2 3" xfId="3102"/>
    <cellStyle name="40% - Accent6 7 2 3 2" xfId="7413"/>
    <cellStyle name="40% - Accent6 7 2 4" xfId="7410"/>
    <cellStyle name="40% - Accent6 7 20" xfId="3103"/>
    <cellStyle name="40% - Accent6 7 20 2" xfId="7414"/>
    <cellStyle name="40% - Accent6 7 21" xfId="7390"/>
    <cellStyle name="40% - Accent6 7 3" xfId="3104"/>
    <cellStyle name="40% - Accent6 7 3 2" xfId="3105"/>
    <cellStyle name="40% - Accent6 7 3 2 2" xfId="3106"/>
    <cellStyle name="40% - Accent6 7 3 2 2 2" xfId="7417"/>
    <cellStyle name="40% - Accent6 7 3 2 3" xfId="7416"/>
    <cellStyle name="40% - Accent6 7 3 3" xfId="3107"/>
    <cellStyle name="40% - Accent6 7 3 3 2" xfId="7418"/>
    <cellStyle name="40% - Accent6 7 3 4" xfId="7415"/>
    <cellStyle name="40% - Accent6 7 4" xfId="3108"/>
    <cellStyle name="40% - Accent6 7 4 2" xfId="3109"/>
    <cellStyle name="40% - Accent6 7 4 2 2" xfId="3110"/>
    <cellStyle name="40% - Accent6 7 4 2 2 2" xfId="7421"/>
    <cellStyle name="40% - Accent6 7 4 2 3" xfId="7420"/>
    <cellStyle name="40% - Accent6 7 4 3" xfId="3111"/>
    <cellStyle name="40% - Accent6 7 4 3 2" xfId="7422"/>
    <cellStyle name="40% - Accent6 7 4 4" xfId="7419"/>
    <cellStyle name="40% - Accent6 7 5" xfId="3112"/>
    <cellStyle name="40% - Accent6 7 5 2" xfId="3113"/>
    <cellStyle name="40% - Accent6 7 5 2 2" xfId="3114"/>
    <cellStyle name="40% - Accent6 7 5 2 2 2" xfId="7425"/>
    <cellStyle name="40% - Accent6 7 5 2 3" xfId="7424"/>
    <cellStyle name="40% - Accent6 7 5 3" xfId="3115"/>
    <cellStyle name="40% - Accent6 7 5 3 2" xfId="7426"/>
    <cellStyle name="40% - Accent6 7 5 4" xfId="7423"/>
    <cellStyle name="40% - Accent6 7 6" xfId="3116"/>
    <cellStyle name="40% - Accent6 7 6 2" xfId="3117"/>
    <cellStyle name="40% - Accent6 7 6 2 2" xfId="3118"/>
    <cellStyle name="40% - Accent6 7 6 2 2 2" xfId="7429"/>
    <cellStyle name="40% - Accent6 7 6 2 3" xfId="7428"/>
    <cellStyle name="40% - Accent6 7 6 3" xfId="3119"/>
    <cellStyle name="40% - Accent6 7 6 3 2" xfId="7430"/>
    <cellStyle name="40% - Accent6 7 6 4" xfId="7427"/>
    <cellStyle name="40% - Accent6 7 7" xfId="3120"/>
    <cellStyle name="40% - Accent6 7 7 2" xfId="3121"/>
    <cellStyle name="40% - Accent6 7 7 2 2" xfId="3122"/>
    <cellStyle name="40% - Accent6 7 7 2 2 2" xfId="7433"/>
    <cellStyle name="40% - Accent6 7 7 2 3" xfId="7432"/>
    <cellStyle name="40% - Accent6 7 7 3" xfId="3123"/>
    <cellStyle name="40% - Accent6 7 7 3 2" xfId="7434"/>
    <cellStyle name="40% - Accent6 7 7 4" xfId="7431"/>
    <cellStyle name="40% - Accent6 7 8" xfId="3124"/>
    <cellStyle name="40% - Accent6 7 8 2" xfId="3125"/>
    <cellStyle name="40% - Accent6 7 8 2 2" xfId="3126"/>
    <cellStyle name="40% - Accent6 7 8 2 2 2" xfId="7437"/>
    <cellStyle name="40% - Accent6 7 8 2 3" xfId="7436"/>
    <cellStyle name="40% - Accent6 7 8 3" xfId="3127"/>
    <cellStyle name="40% - Accent6 7 8 3 2" xfId="7438"/>
    <cellStyle name="40% - Accent6 7 8 4" xfId="7435"/>
    <cellStyle name="40% - Accent6 7 9" xfId="3128"/>
    <cellStyle name="40% - Accent6 7 9 2" xfId="3129"/>
    <cellStyle name="40% - Accent6 7 9 2 2" xfId="7440"/>
    <cellStyle name="40% - Accent6 7 9 3" xfId="7439"/>
    <cellStyle name="40% - Accent6 8" xfId="3130"/>
    <cellStyle name="40% - Accent6 8 10" xfId="3131"/>
    <cellStyle name="40% - Accent6 8 10 2" xfId="3132"/>
    <cellStyle name="40% - Accent6 8 10 2 2" xfId="7443"/>
    <cellStyle name="40% - Accent6 8 10 3" xfId="7442"/>
    <cellStyle name="40% - Accent6 8 11" xfId="3133"/>
    <cellStyle name="40% - Accent6 8 11 2" xfId="3134"/>
    <cellStyle name="40% - Accent6 8 11 2 2" xfId="7445"/>
    <cellStyle name="40% - Accent6 8 11 3" xfId="7444"/>
    <cellStyle name="40% - Accent6 8 12" xfId="3135"/>
    <cellStyle name="40% - Accent6 8 12 2" xfId="3136"/>
    <cellStyle name="40% - Accent6 8 12 2 2" xfId="7447"/>
    <cellStyle name="40% - Accent6 8 12 3" xfId="7446"/>
    <cellStyle name="40% - Accent6 8 13" xfId="3137"/>
    <cellStyle name="40% - Accent6 8 13 2" xfId="3138"/>
    <cellStyle name="40% - Accent6 8 13 2 2" xfId="7449"/>
    <cellStyle name="40% - Accent6 8 13 3" xfId="7448"/>
    <cellStyle name="40% - Accent6 8 14" xfId="3139"/>
    <cellStyle name="40% - Accent6 8 14 2" xfId="3140"/>
    <cellStyle name="40% - Accent6 8 14 2 2" xfId="7451"/>
    <cellStyle name="40% - Accent6 8 14 3" xfId="7450"/>
    <cellStyle name="40% - Accent6 8 15" xfId="3141"/>
    <cellStyle name="40% - Accent6 8 15 2" xfId="3142"/>
    <cellStyle name="40% - Accent6 8 15 2 2" xfId="7453"/>
    <cellStyle name="40% - Accent6 8 15 3" xfId="7452"/>
    <cellStyle name="40% - Accent6 8 16" xfId="3143"/>
    <cellStyle name="40% - Accent6 8 16 2" xfId="3144"/>
    <cellStyle name="40% - Accent6 8 16 2 2" xfId="7455"/>
    <cellStyle name="40% - Accent6 8 16 3" xfId="7454"/>
    <cellStyle name="40% - Accent6 8 17" xfId="3145"/>
    <cellStyle name="40% - Accent6 8 17 2" xfId="3146"/>
    <cellStyle name="40% - Accent6 8 17 2 2" xfId="7457"/>
    <cellStyle name="40% - Accent6 8 17 3" xfId="7456"/>
    <cellStyle name="40% - Accent6 8 18" xfId="3147"/>
    <cellStyle name="40% - Accent6 8 18 2" xfId="3148"/>
    <cellStyle name="40% - Accent6 8 18 2 2" xfId="7459"/>
    <cellStyle name="40% - Accent6 8 18 3" xfId="7458"/>
    <cellStyle name="40% - Accent6 8 19" xfId="3149"/>
    <cellStyle name="40% - Accent6 8 19 2" xfId="7460"/>
    <cellStyle name="40% - Accent6 8 2" xfId="3150"/>
    <cellStyle name="40% - Accent6 8 2 2" xfId="3151"/>
    <cellStyle name="40% - Accent6 8 2 2 2" xfId="3152"/>
    <cellStyle name="40% - Accent6 8 2 2 2 2" xfId="7463"/>
    <cellStyle name="40% - Accent6 8 2 2 3" xfId="7462"/>
    <cellStyle name="40% - Accent6 8 2 3" xfId="3153"/>
    <cellStyle name="40% - Accent6 8 2 3 2" xfId="7464"/>
    <cellStyle name="40% - Accent6 8 2 4" xfId="7461"/>
    <cellStyle name="40% - Accent6 8 20" xfId="3154"/>
    <cellStyle name="40% - Accent6 8 20 2" xfId="7465"/>
    <cellStyle name="40% - Accent6 8 21" xfId="7441"/>
    <cellStyle name="40% - Accent6 8 3" xfId="3155"/>
    <cellStyle name="40% - Accent6 8 3 2" xfId="3156"/>
    <cellStyle name="40% - Accent6 8 3 2 2" xfId="3157"/>
    <cellStyle name="40% - Accent6 8 3 2 2 2" xfId="7468"/>
    <cellStyle name="40% - Accent6 8 3 2 3" xfId="7467"/>
    <cellStyle name="40% - Accent6 8 3 3" xfId="3158"/>
    <cellStyle name="40% - Accent6 8 3 3 2" xfId="7469"/>
    <cellStyle name="40% - Accent6 8 3 4" xfId="7466"/>
    <cellStyle name="40% - Accent6 8 4" xfId="3159"/>
    <cellStyle name="40% - Accent6 8 4 2" xfId="3160"/>
    <cellStyle name="40% - Accent6 8 4 2 2" xfId="3161"/>
    <cellStyle name="40% - Accent6 8 4 2 2 2" xfId="7472"/>
    <cellStyle name="40% - Accent6 8 4 2 3" xfId="7471"/>
    <cellStyle name="40% - Accent6 8 4 3" xfId="3162"/>
    <cellStyle name="40% - Accent6 8 4 3 2" xfId="7473"/>
    <cellStyle name="40% - Accent6 8 4 4" xfId="7470"/>
    <cellStyle name="40% - Accent6 8 5" xfId="3163"/>
    <cellStyle name="40% - Accent6 8 5 2" xfId="3164"/>
    <cellStyle name="40% - Accent6 8 5 2 2" xfId="3165"/>
    <cellStyle name="40% - Accent6 8 5 2 2 2" xfId="7476"/>
    <cellStyle name="40% - Accent6 8 5 2 3" xfId="7475"/>
    <cellStyle name="40% - Accent6 8 5 3" xfId="3166"/>
    <cellStyle name="40% - Accent6 8 5 3 2" xfId="7477"/>
    <cellStyle name="40% - Accent6 8 5 4" xfId="7474"/>
    <cellStyle name="40% - Accent6 8 6" xfId="3167"/>
    <cellStyle name="40% - Accent6 8 6 2" xfId="3168"/>
    <cellStyle name="40% - Accent6 8 6 2 2" xfId="3169"/>
    <cellStyle name="40% - Accent6 8 6 2 2 2" xfId="7480"/>
    <cellStyle name="40% - Accent6 8 6 2 3" xfId="7479"/>
    <cellStyle name="40% - Accent6 8 6 3" xfId="3170"/>
    <cellStyle name="40% - Accent6 8 6 3 2" xfId="7481"/>
    <cellStyle name="40% - Accent6 8 6 4" xfId="7478"/>
    <cellStyle name="40% - Accent6 8 7" xfId="3171"/>
    <cellStyle name="40% - Accent6 8 7 2" xfId="3172"/>
    <cellStyle name="40% - Accent6 8 7 2 2" xfId="3173"/>
    <cellStyle name="40% - Accent6 8 7 2 2 2" xfId="7484"/>
    <cellStyle name="40% - Accent6 8 7 2 3" xfId="7483"/>
    <cellStyle name="40% - Accent6 8 7 3" xfId="3174"/>
    <cellStyle name="40% - Accent6 8 7 3 2" xfId="7485"/>
    <cellStyle name="40% - Accent6 8 7 4" xfId="7482"/>
    <cellStyle name="40% - Accent6 8 8" xfId="3175"/>
    <cellStyle name="40% - Accent6 8 8 2" xfId="3176"/>
    <cellStyle name="40% - Accent6 8 8 2 2" xfId="3177"/>
    <cellStyle name="40% - Accent6 8 8 2 2 2" xfId="7488"/>
    <cellStyle name="40% - Accent6 8 8 2 3" xfId="7487"/>
    <cellStyle name="40% - Accent6 8 8 3" xfId="3178"/>
    <cellStyle name="40% - Accent6 8 8 3 2" xfId="7489"/>
    <cellStyle name="40% - Accent6 8 8 4" xfId="7486"/>
    <cellStyle name="40% - Accent6 8 9" xfId="3179"/>
    <cellStyle name="40% - Accent6 8 9 2" xfId="3180"/>
    <cellStyle name="40% - Accent6 8 9 2 2" xfId="7491"/>
    <cellStyle name="40% - Accent6 8 9 3" xfId="7490"/>
    <cellStyle name="60% - Accent1" xfId="49" builtinId="32" customBuiltin="1"/>
    <cellStyle name="60% - Accent1 2" xfId="50"/>
    <cellStyle name="60% - Accent1 3" xfId="3181"/>
    <cellStyle name="60% - Accent2" xfId="51" builtinId="36" customBuiltin="1"/>
    <cellStyle name="60% - Accent2 2" xfId="52"/>
    <cellStyle name="60% - Accent2 3" xfId="3182"/>
    <cellStyle name="60% - Accent3" xfId="53" builtinId="40" customBuiltin="1"/>
    <cellStyle name="60% - Accent3 2" xfId="54"/>
    <cellStyle name="60% - Accent3 3" xfId="3183"/>
    <cellStyle name="60% - Accent4" xfId="55" builtinId="44" customBuiltin="1"/>
    <cellStyle name="60% - Accent4 2" xfId="56"/>
    <cellStyle name="60% - Accent4 3" xfId="3184"/>
    <cellStyle name="60% - Accent5" xfId="57" builtinId="48" customBuiltin="1"/>
    <cellStyle name="60% - Accent5 2" xfId="58"/>
    <cellStyle name="60% - Accent5 3" xfId="3185"/>
    <cellStyle name="60% - Accent6" xfId="59" builtinId="52" customBuiltin="1"/>
    <cellStyle name="60% - Accent6 2" xfId="60"/>
    <cellStyle name="60% - Accent6 3" xfId="3186"/>
    <cellStyle name="Accent1" xfId="61" builtinId="29" customBuiltin="1"/>
    <cellStyle name="Accent1 2" xfId="62"/>
    <cellStyle name="Accent1 3" xfId="3187"/>
    <cellStyle name="Accent2" xfId="63" builtinId="33" customBuiltin="1"/>
    <cellStyle name="Accent2 2" xfId="64"/>
    <cellStyle name="Accent2 3" xfId="3188"/>
    <cellStyle name="Accent3" xfId="65" builtinId="37" customBuiltin="1"/>
    <cellStyle name="Accent3 2" xfId="66"/>
    <cellStyle name="Accent3 3" xfId="3189"/>
    <cellStyle name="Accent4" xfId="67" builtinId="41" customBuiltin="1"/>
    <cellStyle name="Accent4 2" xfId="68"/>
    <cellStyle name="Accent4 3" xfId="3190"/>
    <cellStyle name="Accent5" xfId="69" builtinId="45" customBuiltin="1"/>
    <cellStyle name="Accent5 2" xfId="70"/>
    <cellStyle name="Accent5 3" xfId="3191"/>
    <cellStyle name="Accent6" xfId="71" builtinId="49" customBuiltin="1"/>
    <cellStyle name="Accent6 2" xfId="72"/>
    <cellStyle name="Accent6 3" xfId="3192"/>
    <cellStyle name="Bad" xfId="73" builtinId="27" customBuiltin="1"/>
    <cellStyle name="Bad 2" xfId="74"/>
    <cellStyle name="Bad 3" xfId="3193"/>
    <cellStyle name="Calculation" xfId="75" builtinId="22" customBuiltin="1"/>
    <cellStyle name="Calculation 2" xfId="76"/>
    <cellStyle name="Calculation 3" xfId="3194"/>
    <cellStyle name="Check Cell" xfId="77" builtinId="23" customBuiltin="1"/>
    <cellStyle name="Check Cell 2" xfId="78"/>
    <cellStyle name="Check Cell 3" xfId="3195"/>
    <cellStyle name="Comma" xfId="79" builtinId="3"/>
    <cellStyle name="Comma 2" xfId="80"/>
    <cellStyle name="Comma 2 2" xfId="81"/>
    <cellStyle name="Comma 2 2 2" xfId="3196"/>
    <cellStyle name="Comma 3" xfId="82"/>
    <cellStyle name="Comma 3 2" xfId="3197"/>
    <cellStyle name="Explanatory Text" xfId="83" builtinId="53" customBuiltin="1"/>
    <cellStyle name="Explanatory Text 2" xfId="84"/>
    <cellStyle name="Explanatory Text 3" xfId="3198"/>
    <cellStyle name="Good" xfId="85" builtinId="26" customBuiltin="1"/>
    <cellStyle name="Good 2" xfId="86"/>
    <cellStyle name="Good 3" xfId="3199"/>
    <cellStyle name="Heading" xfId="3200"/>
    <cellStyle name="Heading 1" xfId="87" builtinId="16" customBuiltin="1"/>
    <cellStyle name="Heading 1 2" xfId="88"/>
    <cellStyle name="Heading 1 3" xfId="3201"/>
    <cellStyle name="Heading 2" xfId="89" builtinId="17" customBuiltin="1"/>
    <cellStyle name="Heading 2 2" xfId="90"/>
    <cellStyle name="Heading 2 3" xfId="3202"/>
    <cellStyle name="Heading 3" xfId="91" builtinId="18" customBuiltin="1"/>
    <cellStyle name="Heading 3 2" xfId="92"/>
    <cellStyle name="Heading 3 3" xfId="3203"/>
    <cellStyle name="Heading 4" xfId="93" builtinId="19" customBuiltin="1"/>
    <cellStyle name="Heading 4 2" xfId="94"/>
    <cellStyle name="Heading 4 3" xfId="3204"/>
    <cellStyle name="Heading1" xfId="3205"/>
    <cellStyle name="Input" xfId="95" builtinId="20" customBuiltin="1"/>
    <cellStyle name="Input 2" xfId="96"/>
    <cellStyle name="Input 3" xfId="3206"/>
    <cellStyle name="Linked Cell" xfId="97" builtinId="24" customBuiltin="1"/>
    <cellStyle name="Linked Cell 2" xfId="98"/>
    <cellStyle name="Linked Cell 3" xfId="3207"/>
    <cellStyle name="Neutral" xfId="99" builtinId="28" customBuiltin="1"/>
    <cellStyle name="Neutral 2" xfId="100"/>
    <cellStyle name="Neutral 3" xfId="3208"/>
    <cellStyle name="Normal" xfId="0" builtinId="0"/>
    <cellStyle name="Normal 10" xfId="3209"/>
    <cellStyle name="Normal 10 10" xfId="3210"/>
    <cellStyle name="Normal 10 10 2" xfId="3211"/>
    <cellStyle name="Normal 10 10 2 2" xfId="7494"/>
    <cellStyle name="Normal 10 10 3" xfId="7493"/>
    <cellStyle name="Normal 10 11" xfId="3212"/>
    <cellStyle name="Normal 10 11 2" xfId="3213"/>
    <cellStyle name="Normal 10 11 2 2" xfId="7496"/>
    <cellStyle name="Normal 10 11 3" xfId="7495"/>
    <cellStyle name="Normal 10 12" xfId="3214"/>
    <cellStyle name="Normal 10 12 2" xfId="3215"/>
    <cellStyle name="Normal 10 12 2 2" xfId="7498"/>
    <cellStyle name="Normal 10 12 3" xfId="7497"/>
    <cellStyle name="Normal 10 13" xfId="3216"/>
    <cellStyle name="Normal 10 13 2" xfId="3217"/>
    <cellStyle name="Normal 10 13 2 2" xfId="7500"/>
    <cellStyle name="Normal 10 13 3" xfId="7499"/>
    <cellStyle name="Normal 10 14" xfId="3218"/>
    <cellStyle name="Normal 10 14 2" xfId="3219"/>
    <cellStyle name="Normal 10 14 2 2" xfId="7502"/>
    <cellStyle name="Normal 10 14 3" xfId="7501"/>
    <cellStyle name="Normal 10 15" xfId="3220"/>
    <cellStyle name="Normal 10 15 2" xfId="3221"/>
    <cellStyle name="Normal 10 15 2 2" xfId="7504"/>
    <cellStyle name="Normal 10 15 3" xfId="7503"/>
    <cellStyle name="Normal 10 16" xfId="3222"/>
    <cellStyle name="Normal 10 16 2" xfId="3223"/>
    <cellStyle name="Normal 10 16 2 2" xfId="7506"/>
    <cellStyle name="Normal 10 16 3" xfId="7505"/>
    <cellStyle name="Normal 10 17" xfId="3224"/>
    <cellStyle name="Normal 10 17 2" xfId="3225"/>
    <cellStyle name="Normal 10 17 2 2" xfId="7508"/>
    <cellStyle name="Normal 10 17 3" xfId="7507"/>
    <cellStyle name="Normal 10 18" xfId="3226"/>
    <cellStyle name="Normal 10 18 2" xfId="3227"/>
    <cellStyle name="Normal 10 18 2 2" xfId="7510"/>
    <cellStyle name="Normal 10 18 3" xfId="7509"/>
    <cellStyle name="Normal 10 19" xfId="3228"/>
    <cellStyle name="Normal 10 19 2" xfId="7511"/>
    <cellStyle name="Normal 10 2" xfId="3229"/>
    <cellStyle name="Normal 10 2 2" xfId="3230"/>
    <cellStyle name="Normal 10 2 2 2" xfId="3231"/>
    <cellStyle name="Normal 10 2 2 2 2" xfId="7514"/>
    <cellStyle name="Normal 10 2 2 3" xfId="7513"/>
    <cellStyle name="Normal 10 2 3" xfId="3232"/>
    <cellStyle name="Normal 10 2 3 2" xfId="7515"/>
    <cellStyle name="Normal 10 2 4" xfId="7512"/>
    <cellStyle name="Normal 10 20" xfId="3233"/>
    <cellStyle name="Normal 10 20 2" xfId="7516"/>
    <cellStyle name="Normal 10 21" xfId="7492"/>
    <cellStyle name="Normal 10 3" xfId="3234"/>
    <cellStyle name="Normal 10 3 2" xfId="3235"/>
    <cellStyle name="Normal 10 3 2 2" xfId="3236"/>
    <cellStyle name="Normal 10 3 2 2 2" xfId="7519"/>
    <cellStyle name="Normal 10 3 2 3" xfId="7518"/>
    <cellStyle name="Normal 10 3 3" xfId="3237"/>
    <cellStyle name="Normal 10 3 3 2" xfId="7520"/>
    <cellStyle name="Normal 10 3 4" xfId="7517"/>
    <cellStyle name="Normal 10 4" xfId="3238"/>
    <cellStyle name="Normal 10 4 2" xfId="3239"/>
    <cellStyle name="Normal 10 4 2 2" xfId="3240"/>
    <cellStyle name="Normal 10 4 2 2 2" xfId="7523"/>
    <cellStyle name="Normal 10 4 2 3" xfId="7522"/>
    <cellStyle name="Normal 10 4 3" xfId="3241"/>
    <cellStyle name="Normal 10 4 3 2" xfId="7524"/>
    <cellStyle name="Normal 10 4 4" xfId="7521"/>
    <cellStyle name="Normal 10 5" xfId="3242"/>
    <cellStyle name="Normal 10 5 2" xfId="3243"/>
    <cellStyle name="Normal 10 5 2 2" xfId="3244"/>
    <cellStyle name="Normal 10 5 2 2 2" xfId="7527"/>
    <cellStyle name="Normal 10 5 2 3" xfId="7526"/>
    <cellStyle name="Normal 10 5 3" xfId="3245"/>
    <cellStyle name="Normal 10 5 3 2" xfId="7528"/>
    <cellStyle name="Normal 10 5 4" xfId="7525"/>
    <cellStyle name="Normal 10 6" xfId="3246"/>
    <cellStyle name="Normal 10 6 2" xfId="3247"/>
    <cellStyle name="Normal 10 6 2 2" xfId="3248"/>
    <cellStyle name="Normal 10 6 2 2 2" xfId="7531"/>
    <cellStyle name="Normal 10 6 2 3" xfId="7530"/>
    <cellStyle name="Normal 10 6 3" xfId="3249"/>
    <cellStyle name="Normal 10 6 3 2" xfId="7532"/>
    <cellStyle name="Normal 10 6 4" xfId="7529"/>
    <cellStyle name="Normal 10 7" xfId="3250"/>
    <cellStyle name="Normal 10 7 2" xfId="3251"/>
    <cellStyle name="Normal 10 7 2 2" xfId="3252"/>
    <cellStyle name="Normal 10 7 2 2 2" xfId="7535"/>
    <cellStyle name="Normal 10 7 2 3" xfId="7534"/>
    <cellStyle name="Normal 10 7 3" xfId="3253"/>
    <cellStyle name="Normal 10 7 3 2" xfId="7536"/>
    <cellStyle name="Normal 10 7 4" xfId="7533"/>
    <cellStyle name="Normal 10 8" xfId="3254"/>
    <cellStyle name="Normal 10 8 2" xfId="3255"/>
    <cellStyle name="Normal 10 8 2 2" xfId="3256"/>
    <cellStyle name="Normal 10 8 2 2 2" xfId="7539"/>
    <cellStyle name="Normal 10 8 2 3" xfId="7538"/>
    <cellStyle name="Normal 10 8 3" xfId="3257"/>
    <cellStyle name="Normal 10 8 3 2" xfId="7540"/>
    <cellStyle name="Normal 10 8 4" xfId="7537"/>
    <cellStyle name="Normal 10 9" xfId="3258"/>
    <cellStyle name="Normal 10 9 2" xfId="3259"/>
    <cellStyle name="Normal 10 9 2 2" xfId="7542"/>
    <cellStyle name="Normal 10 9 3" xfId="7541"/>
    <cellStyle name="Normal 11" xfId="3260"/>
    <cellStyle name="Normal 11 10" xfId="3261"/>
    <cellStyle name="Normal 11 10 2" xfId="3262"/>
    <cellStyle name="Normal 11 10 2 2" xfId="7545"/>
    <cellStyle name="Normal 11 10 3" xfId="7544"/>
    <cellStyle name="Normal 11 11" xfId="3263"/>
    <cellStyle name="Normal 11 11 2" xfId="3264"/>
    <cellStyle name="Normal 11 11 2 2" xfId="7547"/>
    <cellStyle name="Normal 11 11 3" xfId="7546"/>
    <cellStyle name="Normal 11 12" xfId="3265"/>
    <cellStyle name="Normal 11 12 2" xfId="3266"/>
    <cellStyle name="Normal 11 12 2 2" xfId="7549"/>
    <cellStyle name="Normal 11 12 3" xfId="7548"/>
    <cellStyle name="Normal 11 13" xfId="3267"/>
    <cellStyle name="Normal 11 13 2" xfId="3268"/>
    <cellStyle name="Normal 11 13 2 2" xfId="7551"/>
    <cellStyle name="Normal 11 13 3" xfId="7550"/>
    <cellStyle name="Normal 11 14" xfId="3269"/>
    <cellStyle name="Normal 11 14 2" xfId="3270"/>
    <cellStyle name="Normal 11 14 2 2" xfId="7553"/>
    <cellStyle name="Normal 11 14 3" xfId="7552"/>
    <cellStyle name="Normal 11 15" xfId="3271"/>
    <cellStyle name="Normal 11 15 2" xfId="3272"/>
    <cellStyle name="Normal 11 15 2 2" xfId="7555"/>
    <cellStyle name="Normal 11 15 3" xfId="7554"/>
    <cellStyle name="Normal 11 16" xfId="3273"/>
    <cellStyle name="Normal 11 16 2" xfId="3274"/>
    <cellStyle name="Normal 11 16 2 2" xfId="7557"/>
    <cellStyle name="Normal 11 16 3" xfId="7556"/>
    <cellStyle name="Normal 11 17" xfId="3275"/>
    <cellStyle name="Normal 11 17 2" xfId="3276"/>
    <cellStyle name="Normal 11 17 2 2" xfId="7559"/>
    <cellStyle name="Normal 11 17 3" xfId="7558"/>
    <cellStyle name="Normal 11 18" xfId="3277"/>
    <cellStyle name="Normal 11 18 2" xfId="3278"/>
    <cellStyle name="Normal 11 18 2 2" xfId="7561"/>
    <cellStyle name="Normal 11 18 3" xfId="7560"/>
    <cellStyle name="Normal 11 19" xfId="3279"/>
    <cellStyle name="Normal 11 19 2" xfId="7562"/>
    <cellStyle name="Normal 11 2" xfId="3280"/>
    <cellStyle name="Normal 11 2 2" xfId="3281"/>
    <cellStyle name="Normal 11 2 2 2" xfId="3282"/>
    <cellStyle name="Normal 11 2 2 2 2" xfId="7565"/>
    <cellStyle name="Normal 11 2 2 3" xfId="7564"/>
    <cellStyle name="Normal 11 2 3" xfId="3283"/>
    <cellStyle name="Normal 11 2 3 2" xfId="7566"/>
    <cellStyle name="Normal 11 2 4" xfId="7563"/>
    <cellStyle name="Normal 11 20" xfId="3284"/>
    <cellStyle name="Normal 11 20 2" xfId="7567"/>
    <cellStyle name="Normal 11 21" xfId="7543"/>
    <cellStyle name="Normal 11 3" xfId="3285"/>
    <cellStyle name="Normal 11 3 2" xfId="3286"/>
    <cellStyle name="Normal 11 3 2 2" xfId="3287"/>
    <cellStyle name="Normal 11 3 2 2 2" xfId="7570"/>
    <cellStyle name="Normal 11 3 2 3" xfId="7569"/>
    <cellStyle name="Normal 11 3 3" xfId="3288"/>
    <cellStyle name="Normal 11 3 3 2" xfId="7571"/>
    <cellStyle name="Normal 11 3 4" xfId="7568"/>
    <cellStyle name="Normal 11 4" xfId="3289"/>
    <cellStyle name="Normal 11 4 2" xfId="3290"/>
    <cellStyle name="Normal 11 4 2 2" xfId="3291"/>
    <cellStyle name="Normal 11 4 2 2 2" xfId="7574"/>
    <cellStyle name="Normal 11 4 2 3" xfId="7573"/>
    <cellStyle name="Normal 11 4 3" xfId="3292"/>
    <cellStyle name="Normal 11 4 3 2" xfId="7575"/>
    <cellStyle name="Normal 11 4 4" xfId="7572"/>
    <cellStyle name="Normal 11 5" xfId="3293"/>
    <cellStyle name="Normal 11 5 2" xfId="3294"/>
    <cellStyle name="Normal 11 5 2 2" xfId="3295"/>
    <cellStyle name="Normal 11 5 2 2 2" xfId="7578"/>
    <cellStyle name="Normal 11 5 2 3" xfId="7577"/>
    <cellStyle name="Normal 11 5 3" xfId="3296"/>
    <cellStyle name="Normal 11 5 3 2" xfId="7579"/>
    <cellStyle name="Normal 11 5 4" xfId="7576"/>
    <cellStyle name="Normal 11 6" xfId="3297"/>
    <cellStyle name="Normal 11 6 2" xfId="3298"/>
    <cellStyle name="Normal 11 6 2 2" xfId="3299"/>
    <cellStyle name="Normal 11 6 2 2 2" xfId="7582"/>
    <cellStyle name="Normal 11 6 2 3" xfId="7581"/>
    <cellStyle name="Normal 11 6 3" xfId="3300"/>
    <cellStyle name="Normal 11 6 3 2" xfId="7583"/>
    <cellStyle name="Normal 11 6 4" xfId="7580"/>
    <cellStyle name="Normal 11 7" xfId="3301"/>
    <cellStyle name="Normal 11 7 2" xfId="3302"/>
    <cellStyle name="Normal 11 7 2 2" xfId="3303"/>
    <cellStyle name="Normal 11 7 2 2 2" xfId="7586"/>
    <cellStyle name="Normal 11 7 2 3" xfId="7585"/>
    <cellStyle name="Normal 11 7 3" xfId="3304"/>
    <cellStyle name="Normal 11 7 3 2" xfId="7587"/>
    <cellStyle name="Normal 11 7 4" xfId="7584"/>
    <cellStyle name="Normal 11 8" xfId="3305"/>
    <cellStyle name="Normal 11 8 2" xfId="3306"/>
    <cellStyle name="Normal 11 8 2 2" xfId="3307"/>
    <cellStyle name="Normal 11 8 2 2 2" xfId="7590"/>
    <cellStyle name="Normal 11 8 2 3" xfId="7589"/>
    <cellStyle name="Normal 11 8 3" xfId="3308"/>
    <cellStyle name="Normal 11 8 3 2" xfId="7591"/>
    <cellStyle name="Normal 11 8 4" xfId="7588"/>
    <cellStyle name="Normal 11 9" xfId="3309"/>
    <cellStyle name="Normal 11 9 2" xfId="3310"/>
    <cellStyle name="Normal 11 9 2 2" xfId="7593"/>
    <cellStyle name="Normal 11 9 3" xfId="7592"/>
    <cellStyle name="Normal 12" xfId="3311"/>
    <cellStyle name="Normal 13" xfId="3312"/>
    <cellStyle name="Normal 13 2" xfId="3313"/>
    <cellStyle name="Normal 13 2 2" xfId="7595"/>
    <cellStyle name="Normal 13 3" xfId="7594"/>
    <cellStyle name="Normal 14" xfId="3314"/>
    <cellStyle name="Normal 14 2" xfId="7596"/>
    <cellStyle name="Normal 15" xfId="3315"/>
    <cellStyle name="Normal 15 2" xfId="7597"/>
    <cellStyle name="Normal 16" xfId="3316"/>
    <cellStyle name="Normal 17" xfId="3317"/>
    <cellStyle name="Normal 17 2" xfId="7598"/>
    <cellStyle name="Normal 2" xfId="101"/>
    <cellStyle name="Normal 2 2" xfId="102"/>
    <cellStyle name="Normal 2 2 2" xfId="103"/>
    <cellStyle name="Normal 2 2 2 2" xfId="3318"/>
    <cellStyle name="Normal 2 3" xfId="104"/>
    <cellStyle name="Normal 2 3 2" xfId="3319"/>
    <cellStyle name="Normal 3" xfId="105"/>
    <cellStyle name="Normal 3 10" xfId="3320"/>
    <cellStyle name="Normal 3 10 2" xfId="3321"/>
    <cellStyle name="Normal 3 10 2 2" xfId="7600"/>
    <cellStyle name="Normal 3 10 3" xfId="7599"/>
    <cellStyle name="Normal 3 11" xfId="3322"/>
    <cellStyle name="Normal 3 11 2" xfId="3323"/>
    <cellStyle name="Normal 3 11 2 2" xfId="7602"/>
    <cellStyle name="Normal 3 11 3" xfId="7601"/>
    <cellStyle name="Normal 3 12" xfId="3324"/>
    <cellStyle name="Normal 3 12 2" xfId="3325"/>
    <cellStyle name="Normal 3 12 2 2" xfId="7604"/>
    <cellStyle name="Normal 3 12 3" xfId="7603"/>
    <cellStyle name="Normal 3 13" xfId="3326"/>
    <cellStyle name="Normal 3 13 2" xfId="3327"/>
    <cellStyle name="Normal 3 13 2 2" xfId="7606"/>
    <cellStyle name="Normal 3 13 3" xfId="7605"/>
    <cellStyle name="Normal 3 14" xfId="3328"/>
    <cellStyle name="Normal 3 14 2" xfId="3329"/>
    <cellStyle name="Normal 3 14 2 2" xfId="7608"/>
    <cellStyle name="Normal 3 14 3" xfId="7607"/>
    <cellStyle name="Normal 3 15" xfId="3330"/>
    <cellStyle name="Normal 3 15 2" xfId="3331"/>
    <cellStyle name="Normal 3 15 2 2" xfId="7610"/>
    <cellStyle name="Normal 3 15 3" xfId="7609"/>
    <cellStyle name="Normal 3 16" xfId="3332"/>
    <cellStyle name="Normal 3 16 2" xfId="3333"/>
    <cellStyle name="Normal 3 16 2 2" xfId="7612"/>
    <cellStyle name="Normal 3 16 3" xfId="7611"/>
    <cellStyle name="Normal 3 17" xfId="3334"/>
    <cellStyle name="Normal 3 17 2" xfId="3335"/>
    <cellStyle name="Normal 3 17 2 2" xfId="7614"/>
    <cellStyle name="Normal 3 17 3" xfId="7613"/>
    <cellStyle name="Normal 3 18" xfId="3336"/>
    <cellStyle name="Normal 3 18 2" xfId="3337"/>
    <cellStyle name="Normal 3 18 2 2" xfId="7616"/>
    <cellStyle name="Normal 3 18 3" xfId="7615"/>
    <cellStyle name="Normal 3 19" xfId="3338"/>
    <cellStyle name="Normal 3 19 2" xfId="3339"/>
    <cellStyle name="Normal 3 19 2 2" xfId="7618"/>
    <cellStyle name="Normal 3 19 3" xfId="7617"/>
    <cellStyle name="Normal 3 2" xfId="3340"/>
    <cellStyle name="Normal 3 20" xfId="3341"/>
    <cellStyle name="Normal 3 20 2" xfId="7619"/>
    <cellStyle name="Normal 3 21" xfId="3342"/>
    <cellStyle name="Normal 3 21 2" xfId="7620"/>
    <cellStyle name="Normal 3 22" xfId="4430"/>
    <cellStyle name="Normal 3 3" xfId="3343"/>
    <cellStyle name="Normal 3 3 2" xfId="3344"/>
    <cellStyle name="Normal 3 3 2 2" xfId="3345"/>
    <cellStyle name="Normal 3 3 2 2 2" xfId="7623"/>
    <cellStyle name="Normal 3 3 2 3" xfId="7622"/>
    <cellStyle name="Normal 3 3 3" xfId="3346"/>
    <cellStyle name="Normal 3 3 3 2" xfId="7624"/>
    <cellStyle name="Normal 3 3 4" xfId="7621"/>
    <cellStyle name="Normal 3 4" xfId="3347"/>
    <cellStyle name="Normal 3 4 2" xfId="3348"/>
    <cellStyle name="Normal 3 4 2 2" xfId="3349"/>
    <cellStyle name="Normal 3 4 2 2 2" xfId="7627"/>
    <cellStyle name="Normal 3 4 2 3" xfId="7626"/>
    <cellStyle name="Normal 3 4 3" xfId="3350"/>
    <cellStyle name="Normal 3 4 3 2" xfId="7628"/>
    <cellStyle name="Normal 3 4 4" xfId="7625"/>
    <cellStyle name="Normal 3 5" xfId="3351"/>
    <cellStyle name="Normal 3 5 2" xfId="3352"/>
    <cellStyle name="Normal 3 5 2 2" xfId="3353"/>
    <cellStyle name="Normal 3 5 2 2 2" xfId="7631"/>
    <cellStyle name="Normal 3 5 2 3" xfId="7630"/>
    <cellStyle name="Normal 3 5 3" xfId="3354"/>
    <cellStyle name="Normal 3 5 3 2" xfId="7632"/>
    <cellStyle name="Normal 3 5 4" xfId="7629"/>
    <cellStyle name="Normal 3 6" xfId="3355"/>
    <cellStyle name="Normal 3 6 2" xfId="3356"/>
    <cellStyle name="Normal 3 6 2 2" xfId="3357"/>
    <cellStyle name="Normal 3 6 2 2 2" xfId="7635"/>
    <cellStyle name="Normal 3 6 2 3" xfId="7634"/>
    <cellStyle name="Normal 3 6 3" xfId="3358"/>
    <cellStyle name="Normal 3 6 3 2" xfId="7636"/>
    <cellStyle name="Normal 3 6 4" xfId="7633"/>
    <cellStyle name="Normal 3 7" xfId="3359"/>
    <cellStyle name="Normal 3 7 2" xfId="3360"/>
    <cellStyle name="Normal 3 7 2 2" xfId="3361"/>
    <cellStyle name="Normal 3 7 2 2 2" xfId="7639"/>
    <cellStyle name="Normal 3 7 2 3" xfId="7638"/>
    <cellStyle name="Normal 3 7 3" xfId="3362"/>
    <cellStyle name="Normal 3 7 3 2" xfId="7640"/>
    <cellStyle name="Normal 3 7 4" xfId="7637"/>
    <cellStyle name="Normal 3 8" xfId="3363"/>
    <cellStyle name="Normal 3 8 2" xfId="3364"/>
    <cellStyle name="Normal 3 8 2 2" xfId="3365"/>
    <cellStyle name="Normal 3 8 2 2 2" xfId="7643"/>
    <cellStyle name="Normal 3 8 2 3" xfId="7642"/>
    <cellStyle name="Normal 3 8 3" xfId="3366"/>
    <cellStyle name="Normal 3 8 3 2" xfId="7644"/>
    <cellStyle name="Normal 3 8 4" xfId="7641"/>
    <cellStyle name="Normal 3 9" xfId="3367"/>
    <cellStyle name="Normal 3 9 2" xfId="3368"/>
    <cellStyle name="Normal 3 9 2 2" xfId="3369"/>
    <cellStyle name="Normal 3 9 2 2 2" xfId="7647"/>
    <cellStyle name="Normal 3 9 2 3" xfId="7646"/>
    <cellStyle name="Normal 3 9 3" xfId="3370"/>
    <cellStyle name="Normal 3 9 3 2" xfId="7648"/>
    <cellStyle name="Normal 3 9 4" xfId="7645"/>
    <cellStyle name="Normal 4" xfId="3371"/>
    <cellStyle name="Normal 4 10" xfId="3372"/>
    <cellStyle name="Normal 4 10 2" xfId="3373"/>
    <cellStyle name="Normal 4 10 2 2" xfId="3374"/>
    <cellStyle name="Normal 4 10 2 2 2" xfId="7652"/>
    <cellStyle name="Normal 4 10 2 3" xfId="7651"/>
    <cellStyle name="Normal 4 10 3" xfId="3375"/>
    <cellStyle name="Normal 4 10 3 2" xfId="7653"/>
    <cellStyle name="Normal 4 10 4" xfId="7650"/>
    <cellStyle name="Normal 4 11" xfId="3376"/>
    <cellStyle name="Normal 4 11 2" xfId="3377"/>
    <cellStyle name="Normal 4 11 2 2" xfId="3378"/>
    <cellStyle name="Normal 4 11 2 2 2" xfId="7656"/>
    <cellStyle name="Normal 4 11 2 3" xfId="7655"/>
    <cellStyle name="Normal 4 11 3" xfId="3379"/>
    <cellStyle name="Normal 4 11 3 2" xfId="7657"/>
    <cellStyle name="Normal 4 11 4" xfId="7654"/>
    <cellStyle name="Normal 4 12" xfId="3380"/>
    <cellStyle name="Normal 4 12 2" xfId="3381"/>
    <cellStyle name="Normal 4 12 2 2" xfId="3382"/>
    <cellStyle name="Normal 4 12 2 2 2" xfId="7660"/>
    <cellStyle name="Normal 4 12 2 3" xfId="7659"/>
    <cellStyle name="Normal 4 12 3" xfId="3383"/>
    <cellStyle name="Normal 4 12 3 2" xfId="7661"/>
    <cellStyle name="Normal 4 12 4" xfId="7658"/>
    <cellStyle name="Normal 4 13" xfId="3384"/>
    <cellStyle name="Normal 4 13 2" xfId="3385"/>
    <cellStyle name="Normal 4 13 2 2" xfId="3386"/>
    <cellStyle name="Normal 4 13 2 2 2" xfId="7664"/>
    <cellStyle name="Normal 4 13 2 3" xfId="7663"/>
    <cellStyle name="Normal 4 13 3" xfId="3387"/>
    <cellStyle name="Normal 4 13 3 2" xfId="7665"/>
    <cellStyle name="Normal 4 13 4" xfId="7662"/>
    <cellStyle name="Normal 4 14" xfId="3388"/>
    <cellStyle name="Normal 4 14 2" xfId="3389"/>
    <cellStyle name="Normal 4 14 2 2" xfId="3390"/>
    <cellStyle name="Normal 4 14 2 2 2" xfId="7668"/>
    <cellStyle name="Normal 4 14 2 3" xfId="7667"/>
    <cellStyle name="Normal 4 14 3" xfId="3391"/>
    <cellStyle name="Normal 4 14 3 2" xfId="7669"/>
    <cellStyle name="Normal 4 14 4" xfId="7666"/>
    <cellStyle name="Normal 4 15" xfId="3392"/>
    <cellStyle name="Normal 4 15 2" xfId="3393"/>
    <cellStyle name="Normal 4 15 2 2" xfId="7671"/>
    <cellStyle name="Normal 4 15 3" xfId="7670"/>
    <cellStyle name="Normal 4 16" xfId="3394"/>
    <cellStyle name="Normal 4 16 2" xfId="3395"/>
    <cellStyle name="Normal 4 16 2 2" xfId="7673"/>
    <cellStyle name="Normal 4 16 3" xfId="7672"/>
    <cellStyle name="Normal 4 17" xfId="3396"/>
    <cellStyle name="Normal 4 17 2" xfId="3397"/>
    <cellStyle name="Normal 4 17 2 2" xfId="7675"/>
    <cellStyle name="Normal 4 17 3" xfId="7674"/>
    <cellStyle name="Normal 4 18" xfId="3398"/>
    <cellStyle name="Normal 4 18 2" xfId="3399"/>
    <cellStyle name="Normal 4 18 2 2" xfId="7677"/>
    <cellStyle name="Normal 4 18 3" xfId="7676"/>
    <cellStyle name="Normal 4 19" xfId="3400"/>
    <cellStyle name="Normal 4 19 2" xfId="3401"/>
    <cellStyle name="Normal 4 19 2 2" xfId="7679"/>
    <cellStyle name="Normal 4 19 3" xfId="7678"/>
    <cellStyle name="Normal 4 2" xfId="3402"/>
    <cellStyle name="Normal 4 2 10" xfId="3403"/>
    <cellStyle name="Normal 4 2 10 2" xfId="3404"/>
    <cellStyle name="Normal 4 2 10 2 2" xfId="3405"/>
    <cellStyle name="Normal 4 2 10 2 2 2" xfId="7683"/>
    <cellStyle name="Normal 4 2 10 2 3" xfId="7682"/>
    <cellStyle name="Normal 4 2 10 3" xfId="3406"/>
    <cellStyle name="Normal 4 2 10 3 2" xfId="7684"/>
    <cellStyle name="Normal 4 2 10 4" xfId="7681"/>
    <cellStyle name="Normal 4 2 11" xfId="3407"/>
    <cellStyle name="Normal 4 2 11 2" xfId="3408"/>
    <cellStyle name="Normal 4 2 11 2 2" xfId="3409"/>
    <cellStyle name="Normal 4 2 11 2 2 2" xfId="7687"/>
    <cellStyle name="Normal 4 2 11 2 3" xfId="7686"/>
    <cellStyle name="Normal 4 2 11 3" xfId="3410"/>
    <cellStyle name="Normal 4 2 11 3 2" xfId="7688"/>
    <cellStyle name="Normal 4 2 11 4" xfId="7685"/>
    <cellStyle name="Normal 4 2 12" xfId="3411"/>
    <cellStyle name="Normal 4 2 12 2" xfId="3412"/>
    <cellStyle name="Normal 4 2 12 2 2" xfId="3413"/>
    <cellStyle name="Normal 4 2 12 2 2 2" xfId="7691"/>
    <cellStyle name="Normal 4 2 12 2 3" xfId="7690"/>
    <cellStyle name="Normal 4 2 12 3" xfId="3414"/>
    <cellStyle name="Normal 4 2 12 3 2" xfId="7692"/>
    <cellStyle name="Normal 4 2 12 4" xfId="7689"/>
    <cellStyle name="Normal 4 2 13" xfId="3415"/>
    <cellStyle name="Normal 4 2 13 2" xfId="3416"/>
    <cellStyle name="Normal 4 2 13 2 2" xfId="3417"/>
    <cellStyle name="Normal 4 2 13 2 2 2" xfId="7695"/>
    <cellStyle name="Normal 4 2 13 2 3" xfId="7694"/>
    <cellStyle name="Normal 4 2 13 3" xfId="3418"/>
    <cellStyle name="Normal 4 2 13 3 2" xfId="7696"/>
    <cellStyle name="Normal 4 2 13 4" xfId="7693"/>
    <cellStyle name="Normal 4 2 14" xfId="3419"/>
    <cellStyle name="Normal 4 2 14 2" xfId="3420"/>
    <cellStyle name="Normal 4 2 14 2 2" xfId="7698"/>
    <cellStyle name="Normal 4 2 14 3" xfId="7697"/>
    <cellStyle name="Normal 4 2 15" xfId="3421"/>
    <cellStyle name="Normal 4 2 15 2" xfId="3422"/>
    <cellStyle name="Normal 4 2 15 2 2" xfId="7700"/>
    <cellStyle name="Normal 4 2 15 3" xfId="7699"/>
    <cellStyle name="Normal 4 2 16" xfId="3423"/>
    <cellStyle name="Normal 4 2 16 2" xfId="3424"/>
    <cellStyle name="Normal 4 2 16 2 2" xfId="7702"/>
    <cellStyle name="Normal 4 2 16 3" xfId="7701"/>
    <cellStyle name="Normal 4 2 17" xfId="3425"/>
    <cellStyle name="Normal 4 2 17 2" xfId="3426"/>
    <cellStyle name="Normal 4 2 17 2 2" xfId="7704"/>
    <cellStyle name="Normal 4 2 17 3" xfId="7703"/>
    <cellStyle name="Normal 4 2 18" xfId="3427"/>
    <cellStyle name="Normal 4 2 18 2" xfId="3428"/>
    <cellStyle name="Normal 4 2 18 2 2" xfId="7706"/>
    <cellStyle name="Normal 4 2 18 3" xfId="7705"/>
    <cellStyle name="Normal 4 2 19" xfId="3429"/>
    <cellStyle name="Normal 4 2 19 2" xfId="3430"/>
    <cellStyle name="Normal 4 2 19 2 2" xfId="7708"/>
    <cellStyle name="Normal 4 2 19 3" xfId="7707"/>
    <cellStyle name="Normal 4 2 2" xfId="3431"/>
    <cellStyle name="Normal 4 2 2 10" xfId="3432"/>
    <cellStyle name="Normal 4 2 2 10 2" xfId="3433"/>
    <cellStyle name="Normal 4 2 2 10 2 2" xfId="7711"/>
    <cellStyle name="Normal 4 2 2 10 3" xfId="7710"/>
    <cellStyle name="Normal 4 2 2 11" xfId="3434"/>
    <cellStyle name="Normal 4 2 2 11 2" xfId="3435"/>
    <cellStyle name="Normal 4 2 2 11 2 2" xfId="7713"/>
    <cellStyle name="Normal 4 2 2 11 3" xfId="7712"/>
    <cellStyle name="Normal 4 2 2 12" xfId="3436"/>
    <cellStyle name="Normal 4 2 2 12 2" xfId="3437"/>
    <cellStyle name="Normal 4 2 2 12 2 2" xfId="7715"/>
    <cellStyle name="Normal 4 2 2 12 3" xfId="7714"/>
    <cellStyle name="Normal 4 2 2 13" xfId="3438"/>
    <cellStyle name="Normal 4 2 2 13 2" xfId="3439"/>
    <cellStyle name="Normal 4 2 2 13 2 2" xfId="7717"/>
    <cellStyle name="Normal 4 2 2 13 3" xfId="7716"/>
    <cellStyle name="Normal 4 2 2 14" xfId="3440"/>
    <cellStyle name="Normal 4 2 2 14 2" xfId="3441"/>
    <cellStyle name="Normal 4 2 2 14 2 2" xfId="7719"/>
    <cellStyle name="Normal 4 2 2 14 3" xfId="7718"/>
    <cellStyle name="Normal 4 2 2 15" xfId="3442"/>
    <cellStyle name="Normal 4 2 2 15 2" xfId="3443"/>
    <cellStyle name="Normal 4 2 2 15 2 2" xfId="7721"/>
    <cellStyle name="Normal 4 2 2 15 3" xfId="7720"/>
    <cellStyle name="Normal 4 2 2 16" xfId="3444"/>
    <cellStyle name="Normal 4 2 2 16 2" xfId="3445"/>
    <cellStyle name="Normal 4 2 2 16 2 2" xfId="7723"/>
    <cellStyle name="Normal 4 2 2 16 3" xfId="7722"/>
    <cellStyle name="Normal 4 2 2 17" xfId="3446"/>
    <cellStyle name="Normal 4 2 2 17 2" xfId="3447"/>
    <cellStyle name="Normal 4 2 2 17 2 2" xfId="7725"/>
    <cellStyle name="Normal 4 2 2 17 3" xfId="7724"/>
    <cellStyle name="Normal 4 2 2 18" xfId="3448"/>
    <cellStyle name="Normal 4 2 2 18 2" xfId="3449"/>
    <cellStyle name="Normal 4 2 2 18 2 2" xfId="7727"/>
    <cellStyle name="Normal 4 2 2 18 3" xfId="7726"/>
    <cellStyle name="Normal 4 2 2 19" xfId="3450"/>
    <cellStyle name="Normal 4 2 2 19 2" xfId="7728"/>
    <cellStyle name="Normal 4 2 2 2" xfId="3451"/>
    <cellStyle name="Normal 4 2 2 2 2" xfId="3452"/>
    <cellStyle name="Normal 4 2 2 2 2 2" xfId="3453"/>
    <cellStyle name="Normal 4 2 2 2 2 2 2" xfId="7731"/>
    <cellStyle name="Normal 4 2 2 2 2 3" xfId="7730"/>
    <cellStyle name="Normal 4 2 2 2 3" xfId="3454"/>
    <cellStyle name="Normal 4 2 2 2 3 2" xfId="7732"/>
    <cellStyle name="Normal 4 2 2 2 4" xfId="7729"/>
    <cellStyle name="Normal 4 2 2 20" xfId="3455"/>
    <cellStyle name="Normal 4 2 2 20 2" xfId="7733"/>
    <cellStyle name="Normal 4 2 2 21" xfId="7709"/>
    <cellStyle name="Normal 4 2 2 3" xfId="3456"/>
    <cellStyle name="Normal 4 2 2 3 2" xfId="3457"/>
    <cellStyle name="Normal 4 2 2 3 2 2" xfId="3458"/>
    <cellStyle name="Normal 4 2 2 3 2 2 2" xfId="7736"/>
    <cellStyle name="Normal 4 2 2 3 2 3" xfId="7735"/>
    <cellStyle name="Normal 4 2 2 3 3" xfId="3459"/>
    <cellStyle name="Normal 4 2 2 3 3 2" xfId="7737"/>
    <cellStyle name="Normal 4 2 2 3 4" xfId="7734"/>
    <cellStyle name="Normal 4 2 2 4" xfId="3460"/>
    <cellStyle name="Normal 4 2 2 4 2" xfId="3461"/>
    <cellStyle name="Normal 4 2 2 4 2 2" xfId="3462"/>
    <cellStyle name="Normal 4 2 2 4 2 2 2" xfId="7740"/>
    <cellStyle name="Normal 4 2 2 4 2 3" xfId="7739"/>
    <cellStyle name="Normal 4 2 2 4 3" xfId="3463"/>
    <cellStyle name="Normal 4 2 2 4 3 2" xfId="7741"/>
    <cellStyle name="Normal 4 2 2 4 4" xfId="7738"/>
    <cellStyle name="Normal 4 2 2 5" xfId="3464"/>
    <cellStyle name="Normal 4 2 2 5 2" xfId="3465"/>
    <cellStyle name="Normal 4 2 2 5 2 2" xfId="3466"/>
    <cellStyle name="Normal 4 2 2 5 2 2 2" xfId="7744"/>
    <cellStyle name="Normal 4 2 2 5 2 3" xfId="7743"/>
    <cellStyle name="Normal 4 2 2 5 3" xfId="3467"/>
    <cellStyle name="Normal 4 2 2 5 3 2" xfId="7745"/>
    <cellStyle name="Normal 4 2 2 5 4" xfId="7742"/>
    <cellStyle name="Normal 4 2 2 6" xfId="3468"/>
    <cellStyle name="Normal 4 2 2 6 2" xfId="3469"/>
    <cellStyle name="Normal 4 2 2 6 2 2" xfId="3470"/>
    <cellStyle name="Normal 4 2 2 6 2 2 2" xfId="7748"/>
    <cellStyle name="Normal 4 2 2 6 2 3" xfId="7747"/>
    <cellStyle name="Normal 4 2 2 6 3" xfId="3471"/>
    <cellStyle name="Normal 4 2 2 6 3 2" xfId="7749"/>
    <cellStyle name="Normal 4 2 2 6 4" xfId="7746"/>
    <cellStyle name="Normal 4 2 2 7" xfId="3472"/>
    <cellStyle name="Normal 4 2 2 7 2" xfId="3473"/>
    <cellStyle name="Normal 4 2 2 7 2 2" xfId="3474"/>
    <cellStyle name="Normal 4 2 2 7 2 2 2" xfId="7752"/>
    <cellStyle name="Normal 4 2 2 7 2 3" xfId="7751"/>
    <cellStyle name="Normal 4 2 2 7 3" xfId="3475"/>
    <cellStyle name="Normal 4 2 2 7 3 2" xfId="7753"/>
    <cellStyle name="Normal 4 2 2 7 4" xfId="7750"/>
    <cellStyle name="Normal 4 2 2 8" xfId="3476"/>
    <cellStyle name="Normal 4 2 2 8 2" xfId="3477"/>
    <cellStyle name="Normal 4 2 2 8 2 2" xfId="3478"/>
    <cellStyle name="Normal 4 2 2 8 2 2 2" xfId="7756"/>
    <cellStyle name="Normal 4 2 2 8 2 3" xfId="7755"/>
    <cellStyle name="Normal 4 2 2 8 3" xfId="3479"/>
    <cellStyle name="Normal 4 2 2 8 3 2" xfId="7757"/>
    <cellStyle name="Normal 4 2 2 8 4" xfId="7754"/>
    <cellStyle name="Normal 4 2 2 9" xfId="3480"/>
    <cellStyle name="Normal 4 2 2 9 2" xfId="3481"/>
    <cellStyle name="Normal 4 2 2 9 2 2" xfId="7759"/>
    <cellStyle name="Normal 4 2 2 9 3" xfId="7758"/>
    <cellStyle name="Normal 4 2 20" xfId="3482"/>
    <cellStyle name="Normal 4 2 20 2" xfId="3483"/>
    <cellStyle name="Normal 4 2 20 2 2" xfId="7761"/>
    <cellStyle name="Normal 4 2 20 3" xfId="7760"/>
    <cellStyle name="Normal 4 2 21" xfId="3484"/>
    <cellStyle name="Normal 4 2 21 2" xfId="3485"/>
    <cellStyle name="Normal 4 2 21 2 2" xfId="7763"/>
    <cellStyle name="Normal 4 2 21 3" xfId="7762"/>
    <cellStyle name="Normal 4 2 22" xfId="3486"/>
    <cellStyle name="Normal 4 2 22 2" xfId="3487"/>
    <cellStyle name="Normal 4 2 22 2 2" xfId="7765"/>
    <cellStyle name="Normal 4 2 22 3" xfId="7764"/>
    <cellStyle name="Normal 4 2 23" xfId="3488"/>
    <cellStyle name="Normal 4 2 23 2" xfId="3489"/>
    <cellStyle name="Normal 4 2 23 2 2" xfId="7767"/>
    <cellStyle name="Normal 4 2 23 3" xfId="7766"/>
    <cellStyle name="Normal 4 2 24" xfId="3490"/>
    <cellStyle name="Normal 4 2 24 2" xfId="7768"/>
    <cellStyle name="Normal 4 2 25" xfId="3491"/>
    <cellStyle name="Normal 4 2 25 2" xfId="7769"/>
    <cellStyle name="Normal 4 2 26" xfId="7680"/>
    <cellStyle name="Normal 4 2 3" xfId="3492"/>
    <cellStyle name="Normal 4 2 3 10" xfId="3493"/>
    <cellStyle name="Normal 4 2 3 10 2" xfId="3494"/>
    <cellStyle name="Normal 4 2 3 10 2 2" xfId="7772"/>
    <cellStyle name="Normal 4 2 3 10 3" xfId="7771"/>
    <cellStyle name="Normal 4 2 3 11" xfId="3495"/>
    <cellStyle name="Normal 4 2 3 11 2" xfId="3496"/>
    <cellStyle name="Normal 4 2 3 11 2 2" xfId="7774"/>
    <cellStyle name="Normal 4 2 3 11 3" xfId="7773"/>
    <cellStyle name="Normal 4 2 3 12" xfId="3497"/>
    <cellStyle name="Normal 4 2 3 12 2" xfId="3498"/>
    <cellStyle name="Normal 4 2 3 12 2 2" xfId="7776"/>
    <cellStyle name="Normal 4 2 3 12 3" xfId="7775"/>
    <cellStyle name="Normal 4 2 3 13" xfId="3499"/>
    <cellStyle name="Normal 4 2 3 13 2" xfId="3500"/>
    <cellStyle name="Normal 4 2 3 13 2 2" xfId="7778"/>
    <cellStyle name="Normal 4 2 3 13 3" xfId="7777"/>
    <cellStyle name="Normal 4 2 3 14" xfId="3501"/>
    <cellStyle name="Normal 4 2 3 14 2" xfId="3502"/>
    <cellStyle name="Normal 4 2 3 14 2 2" xfId="7780"/>
    <cellStyle name="Normal 4 2 3 14 3" xfId="7779"/>
    <cellStyle name="Normal 4 2 3 15" xfId="3503"/>
    <cellStyle name="Normal 4 2 3 15 2" xfId="3504"/>
    <cellStyle name="Normal 4 2 3 15 2 2" xfId="7782"/>
    <cellStyle name="Normal 4 2 3 15 3" xfId="7781"/>
    <cellStyle name="Normal 4 2 3 16" xfId="3505"/>
    <cellStyle name="Normal 4 2 3 16 2" xfId="3506"/>
    <cellStyle name="Normal 4 2 3 16 2 2" xfId="7784"/>
    <cellStyle name="Normal 4 2 3 16 3" xfId="7783"/>
    <cellStyle name="Normal 4 2 3 17" xfId="3507"/>
    <cellStyle name="Normal 4 2 3 17 2" xfId="3508"/>
    <cellStyle name="Normal 4 2 3 17 2 2" xfId="7786"/>
    <cellStyle name="Normal 4 2 3 17 3" xfId="7785"/>
    <cellStyle name="Normal 4 2 3 18" xfId="3509"/>
    <cellStyle name="Normal 4 2 3 18 2" xfId="3510"/>
    <cellStyle name="Normal 4 2 3 18 2 2" xfId="7788"/>
    <cellStyle name="Normal 4 2 3 18 3" xfId="7787"/>
    <cellStyle name="Normal 4 2 3 19" xfId="3511"/>
    <cellStyle name="Normal 4 2 3 19 2" xfId="7789"/>
    <cellStyle name="Normal 4 2 3 2" xfId="3512"/>
    <cellStyle name="Normal 4 2 3 2 2" xfId="3513"/>
    <cellStyle name="Normal 4 2 3 2 2 2" xfId="3514"/>
    <cellStyle name="Normal 4 2 3 2 2 2 2" xfId="7792"/>
    <cellStyle name="Normal 4 2 3 2 2 3" xfId="7791"/>
    <cellStyle name="Normal 4 2 3 2 3" xfId="3515"/>
    <cellStyle name="Normal 4 2 3 2 3 2" xfId="7793"/>
    <cellStyle name="Normal 4 2 3 2 4" xfId="7790"/>
    <cellStyle name="Normal 4 2 3 20" xfId="3516"/>
    <cellStyle name="Normal 4 2 3 20 2" xfId="7794"/>
    <cellStyle name="Normal 4 2 3 21" xfId="7770"/>
    <cellStyle name="Normal 4 2 3 3" xfId="3517"/>
    <cellStyle name="Normal 4 2 3 3 2" xfId="3518"/>
    <cellStyle name="Normal 4 2 3 3 2 2" xfId="3519"/>
    <cellStyle name="Normal 4 2 3 3 2 2 2" xfId="7797"/>
    <cellStyle name="Normal 4 2 3 3 2 3" xfId="7796"/>
    <cellStyle name="Normal 4 2 3 3 3" xfId="3520"/>
    <cellStyle name="Normal 4 2 3 3 3 2" xfId="7798"/>
    <cellStyle name="Normal 4 2 3 3 4" xfId="7795"/>
    <cellStyle name="Normal 4 2 3 4" xfId="3521"/>
    <cellStyle name="Normal 4 2 3 4 2" xfId="3522"/>
    <cellStyle name="Normal 4 2 3 4 2 2" xfId="3523"/>
    <cellStyle name="Normal 4 2 3 4 2 2 2" xfId="7801"/>
    <cellStyle name="Normal 4 2 3 4 2 3" xfId="7800"/>
    <cellStyle name="Normal 4 2 3 4 3" xfId="3524"/>
    <cellStyle name="Normal 4 2 3 4 3 2" xfId="7802"/>
    <cellStyle name="Normal 4 2 3 4 4" xfId="7799"/>
    <cellStyle name="Normal 4 2 3 5" xfId="3525"/>
    <cellStyle name="Normal 4 2 3 5 2" xfId="3526"/>
    <cellStyle name="Normal 4 2 3 5 2 2" xfId="3527"/>
    <cellStyle name="Normal 4 2 3 5 2 2 2" xfId="7805"/>
    <cellStyle name="Normal 4 2 3 5 2 3" xfId="7804"/>
    <cellStyle name="Normal 4 2 3 5 3" xfId="3528"/>
    <cellStyle name="Normal 4 2 3 5 3 2" xfId="7806"/>
    <cellStyle name="Normal 4 2 3 5 4" xfId="7803"/>
    <cellStyle name="Normal 4 2 3 6" xfId="3529"/>
    <cellStyle name="Normal 4 2 3 6 2" xfId="3530"/>
    <cellStyle name="Normal 4 2 3 6 2 2" xfId="3531"/>
    <cellStyle name="Normal 4 2 3 6 2 2 2" xfId="7809"/>
    <cellStyle name="Normal 4 2 3 6 2 3" xfId="7808"/>
    <cellStyle name="Normal 4 2 3 6 3" xfId="3532"/>
    <cellStyle name="Normal 4 2 3 6 3 2" xfId="7810"/>
    <cellStyle name="Normal 4 2 3 6 4" xfId="7807"/>
    <cellStyle name="Normal 4 2 3 7" xfId="3533"/>
    <cellStyle name="Normal 4 2 3 7 2" xfId="3534"/>
    <cellStyle name="Normal 4 2 3 7 2 2" xfId="3535"/>
    <cellStyle name="Normal 4 2 3 7 2 2 2" xfId="7813"/>
    <cellStyle name="Normal 4 2 3 7 2 3" xfId="7812"/>
    <cellStyle name="Normal 4 2 3 7 3" xfId="3536"/>
    <cellStyle name="Normal 4 2 3 7 3 2" xfId="7814"/>
    <cellStyle name="Normal 4 2 3 7 4" xfId="7811"/>
    <cellStyle name="Normal 4 2 3 8" xfId="3537"/>
    <cellStyle name="Normal 4 2 3 8 2" xfId="3538"/>
    <cellStyle name="Normal 4 2 3 8 2 2" xfId="3539"/>
    <cellStyle name="Normal 4 2 3 8 2 2 2" xfId="7817"/>
    <cellStyle name="Normal 4 2 3 8 2 3" xfId="7816"/>
    <cellStyle name="Normal 4 2 3 8 3" xfId="3540"/>
    <cellStyle name="Normal 4 2 3 8 3 2" xfId="7818"/>
    <cellStyle name="Normal 4 2 3 8 4" xfId="7815"/>
    <cellStyle name="Normal 4 2 3 9" xfId="3541"/>
    <cellStyle name="Normal 4 2 3 9 2" xfId="3542"/>
    <cellStyle name="Normal 4 2 3 9 2 2" xfId="7820"/>
    <cellStyle name="Normal 4 2 3 9 3" xfId="7819"/>
    <cellStyle name="Normal 4 2 4" xfId="3543"/>
    <cellStyle name="Normal 4 2 4 10" xfId="3544"/>
    <cellStyle name="Normal 4 2 4 10 2" xfId="3545"/>
    <cellStyle name="Normal 4 2 4 10 2 2" xfId="7823"/>
    <cellStyle name="Normal 4 2 4 10 3" xfId="7822"/>
    <cellStyle name="Normal 4 2 4 11" xfId="3546"/>
    <cellStyle name="Normal 4 2 4 11 2" xfId="3547"/>
    <cellStyle name="Normal 4 2 4 11 2 2" xfId="7825"/>
    <cellStyle name="Normal 4 2 4 11 3" xfId="7824"/>
    <cellStyle name="Normal 4 2 4 12" xfId="3548"/>
    <cellStyle name="Normal 4 2 4 12 2" xfId="3549"/>
    <cellStyle name="Normal 4 2 4 12 2 2" xfId="7827"/>
    <cellStyle name="Normal 4 2 4 12 3" xfId="7826"/>
    <cellStyle name="Normal 4 2 4 13" xfId="3550"/>
    <cellStyle name="Normal 4 2 4 13 2" xfId="3551"/>
    <cellStyle name="Normal 4 2 4 13 2 2" xfId="7829"/>
    <cellStyle name="Normal 4 2 4 13 3" xfId="7828"/>
    <cellStyle name="Normal 4 2 4 14" xfId="3552"/>
    <cellStyle name="Normal 4 2 4 14 2" xfId="3553"/>
    <cellStyle name="Normal 4 2 4 14 2 2" xfId="7831"/>
    <cellStyle name="Normal 4 2 4 14 3" xfId="7830"/>
    <cellStyle name="Normal 4 2 4 15" xfId="3554"/>
    <cellStyle name="Normal 4 2 4 15 2" xfId="3555"/>
    <cellStyle name="Normal 4 2 4 15 2 2" xfId="7833"/>
    <cellStyle name="Normal 4 2 4 15 3" xfId="7832"/>
    <cellStyle name="Normal 4 2 4 16" xfId="3556"/>
    <cellStyle name="Normal 4 2 4 16 2" xfId="3557"/>
    <cellStyle name="Normal 4 2 4 16 2 2" xfId="7835"/>
    <cellStyle name="Normal 4 2 4 16 3" xfId="7834"/>
    <cellStyle name="Normal 4 2 4 17" xfId="3558"/>
    <cellStyle name="Normal 4 2 4 17 2" xfId="3559"/>
    <cellStyle name="Normal 4 2 4 17 2 2" xfId="7837"/>
    <cellStyle name="Normal 4 2 4 17 3" xfId="7836"/>
    <cellStyle name="Normal 4 2 4 18" xfId="3560"/>
    <cellStyle name="Normal 4 2 4 18 2" xfId="3561"/>
    <cellStyle name="Normal 4 2 4 18 2 2" xfId="7839"/>
    <cellStyle name="Normal 4 2 4 18 3" xfId="7838"/>
    <cellStyle name="Normal 4 2 4 19" xfId="3562"/>
    <cellStyle name="Normal 4 2 4 19 2" xfId="7840"/>
    <cellStyle name="Normal 4 2 4 2" xfId="3563"/>
    <cellStyle name="Normal 4 2 4 2 2" xfId="3564"/>
    <cellStyle name="Normal 4 2 4 2 2 2" xfId="3565"/>
    <cellStyle name="Normal 4 2 4 2 2 2 2" xfId="7843"/>
    <cellStyle name="Normal 4 2 4 2 2 3" xfId="7842"/>
    <cellStyle name="Normal 4 2 4 2 3" xfId="3566"/>
    <cellStyle name="Normal 4 2 4 2 3 2" xfId="7844"/>
    <cellStyle name="Normal 4 2 4 2 4" xfId="7841"/>
    <cellStyle name="Normal 4 2 4 20" xfId="3567"/>
    <cellStyle name="Normal 4 2 4 20 2" xfId="7845"/>
    <cellStyle name="Normal 4 2 4 21" xfId="7821"/>
    <cellStyle name="Normal 4 2 4 3" xfId="3568"/>
    <cellStyle name="Normal 4 2 4 3 2" xfId="3569"/>
    <cellStyle name="Normal 4 2 4 3 2 2" xfId="3570"/>
    <cellStyle name="Normal 4 2 4 3 2 2 2" xfId="7848"/>
    <cellStyle name="Normal 4 2 4 3 2 3" xfId="7847"/>
    <cellStyle name="Normal 4 2 4 3 3" xfId="3571"/>
    <cellStyle name="Normal 4 2 4 3 3 2" xfId="7849"/>
    <cellStyle name="Normal 4 2 4 3 4" xfId="7846"/>
    <cellStyle name="Normal 4 2 4 4" xfId="3572"/>
    <cellStyle name="Normal 4 2 4 4 2" xfId="3573"/>
    <cellStyle name="Normal 4 2 4 4 2 2" xfId="3574"/>
    <cellStyle name="Normal 4 2 4 4 2 2 2" xfId="7852"/>
    <cellStyle name="Normal 4 2 4 4 2 3" xfId="7851"/>
    <cellStyle name="Normal 4 2 4 4 3" xfId="3575"/>
    <cellStyle name="Normal 4 2 4 4 3 2" xfId="7853"/>
    <cellStyle name="Normal 4 2 4 4 4" xfId="7850"/>
    <cellStyle name="Normal 4 2 4 5" xfId="3576"/>
    <cellStyle name="Normal 4 2 4 5 2" xfId="3577"/>
    <cellStyle name="Normal 4 2 4 5 2 2" xfId="3578"/>
    <cellStyle name="Normal 4 2 4 5 2 2 2" xfId="7856"/>
    <cellStyle name="Normal 4 2 4 5 2 3" xfId="7855"/>
    <cellStyle name="Normal 4 2 4 5 3" xfId="3579"/>
    <cellStyle name="Normal 4 2 4 5 3 2" xfId="7857"/>
    <cellStyle name="Normal 4 2 4 5 4" xfId="7854"/>
    <cellStyle name="Normal 4 2 4 6" xfId="3580"/>
    <cellStyle name="Normal 4 2 4 6 2" xfId="3581"/>
    <cellStyle name="Normal 4 2 4 6 2 2" xfId="3582"/>
    <cellStyle name="Normal 4 2 4 6 2 2 2" xfId="7860"/>
    <cellStyle name="Normal 4 2 4 6 2 3" xfId="7859"/>
    <cellStyle name="Normal 4 2 4 6 3" xfId="3583"/>
    <cellStyle name="Normal 4 2 4 6 3 2" xfId="7861"/>
    <cellStyle name="Normal 4 2 4 6 4" xfId="7858"/>
    <cellStyle name="Normal 4 2 4 7" xfId="3584"/>
    <cellStyle name="Normal 4 2 4 7 2" xfId="3585"/>
    <cellStyle name="Normal 4 2 4 7 2 2" xfId="3586"/>
    <cellStyle name="Normal 4 2 4 7 2 2 2" xfId="7864"/>
    <cellStyle name="Normal 4 2 4 7 2 3" xfId="7863"/>
    <cellStyle name="Normal 4 2 4 7 3" xfId="3587"/>
    <cellStyle name="Normal 4 2 4 7 3 2" xfId="7865"/>
    <cellStyle name="Normal 4 2 4 7 4" xfId="7862"/>
    <cellStyle name="Normal 4 2 4 8" xfId="3588"/>
    <cellStyle name="Normal 4 2 4 8 2" xfId="3589"/>
    <cellStyle name="Normal 4 2 4 8 2 2" xfId="3590"/>
    <cellStyle name="Normal 4 2 4 8 2 2 2" xfId="7868"/>
    <cellStyle name="Normal 4 2 4 8 2 3" xfId="7867"/>
    <cellStyle name="Normal 4 2 4 8 3" xfId="3591"/>
    <cellStyle name="Normal 4 2 4 8 3 2" xfId="7869"/>
    <cellStyle name="Normal 4 2 4 8 4" xfId="7866"/>
    <cellStyle name="Normal 4 2 4 9" xfId="3592"/>
    <cellStyle name="Normal 4 2 4 9 2" xfId="3593"/>
    <cellStyle name="Normal 4 2 4 9 2 2" xfId="7871"/>
    <cellStyle name="Normal 4 2 4 9 3" xfId="7870"/>
    <cellStyle name="Normal 4 2 5" xfId="3594"/>
    <cellStyle name="Normal 4 2 5 10" xfId="3595"/>
    <cellStyle name="Normal 4 2 5 10 2" xfId="3596"/>
    <cellStyle name="Normal 4 2 5 10 2 2" xfId="7874"/>
    <cellStyle name="Normal 4 2 5 10 3" xfId="7873"/>
    <cellStyle name="Normal 4 2 5 11" xfId="3597"/>
    <cellStyle name="Normal 4 2 5 11 2" xfId="3598"/>
    <cellStyle name="Normal 4 2 5 11 2 2" xfId="7876"/>
    <cellStyle name="Normal 4 2 5 11 3" xfId="7875"/>
    <cellStyle name="Normal 4 2 5 12" xfId="3599"/>
    <cellStyle name="Normal 4 2 5 12 2" xfId="3600"/>
    <cellStyle name="Normal 4 2 5 12 2 2" xfId="7878"/>
    <cellStyle name="Normal 4 2 5 12 3" xfId="7877"/>
    <cellStyle name="Normal 4 2 5 13" xfId="3601"/>
    <cellStyle name="Normal 4 2 5 13 2" xfId="3602"/>
    <cellStyle name="Normal 4 2 5 13 2 2" xfId="7880"/>
    <cellStyle name="Normal 4 2 5 13 3" xfId="7879"/>
    <cellStyle name="Normal 4 2 5 14" xfId="3603"/>
    <cellStyle name="Normal 4 2 5 14 2" xfId="3604"/>
    <cellStyle name="Normal 4 2 5 14 2 2" xfId="7882"/>
    <cellStyle name="Normal 4 2 5 14 3" xfId="7881"/>
    <cellStyle name="Normal 4 2 5 15" xfId="3605"/>
    <cellStyle name="Normal 4 2 5 15 2" xfId="3606"/>
    <cellStyle name="Normal 4 2 5 15 2 2" xfId="7884"/>
    <cellStyle name="Normal 4 2 5 15 3" xfId="7883"/>
    <cellStyle name="Normal 4 2 5 16" xfId="3607"/>
    <cellStyle name="Normal 4 2 5 16 2" xfId="3608"/>
    <cellStyle name="Normal 4 2 5 16 2 2" xfId="7886"/>
    <cellStyle name="Normal 4 2 5 16 3" xfId="7885"/>
    <cellStyle name="Normal 4 2 5 17" xfId="3609"/>
    <cellStyle name="Normal 4 2 5 17 2" xfId="3610"/>
    <cellStyle name="Normal 4 2 5 17 2 2" xfId="7888"/>
    <cellStyle name="Normal 4 2 5 17 3" xfId="7887"/>
    <cellStyle name="Normal 4 2 5 18" xfId="3611"/>
    <cellStyle name="Normal 4 2 5 18 2" xfId="3612"/>
    <cellStyle name="Normal 4 2 5 18 2 2" xfId="7890"/>
    <cellStyle name="Normal 4 2 5 18 3" xfId="7889"/>
    <cellStyle name="Normal 4 2 5 19" xfId="3613"/>
    <cellStyle name="Normal 4 2 5 19 2" xfId="7891"/>
    <cellStyle name="Normal 4 2 5 2" xfId="3614"/>
    <cellStyle name="Normal 4 2 5 2 2" xfId="3615"/>
    <cellStyle name="Normal 4 2 5 2 2 2" xfId="3616"/>
    <cellStyle name="Normal 4 2 5 2 2 2 2" xfId="7894"/>
    <cellStyle name="Normal 4 2 5 2 2 3" xfId="7893"/>
    <cellStyle name="Normal 4 2 5 2 3" xfId="3617"/>
    <cellStyle name="Normal 4 2 5 2 3 2" xfId="7895"/>
    <cellStyle name="Normal 4 2 5 2 4" xfId="7892"/>
    <cellStyle name="Normal 4 2 5 20" xfId="3618"/>
    <cellStyle name="Normal 4 2 5 20 2" xfId="7896"/>
    <cellStyle name="Normal 4 2 5 21" xfId="7872"/>
    <cellStyle name="Normal 4 2 5 3" xfId="3619"/>
    <cellStyle name="Normal 4 2 5 3 2" xfId="3620"/>
    <cellStyle name="Normal 4 2 5 3 2 2" xfId="3621"/>
    <cellStyle name="Normal 4 2 5 3 2 2 2" xfId="7899"/>
    <cellStyle name="Normal 4 2 5 3 2 3" xfId="7898"/>
    <cellStyle name="Normal 4 2 5 3 3" xfId="3622"/>
    <cellStyle name="Normal 4 2 5 3 3 2" xfId="7900"/>
    <cellStyle name="Normal 4 2 5 3 4" xfId="7897"/>
    <cellStyle name="Normal 4 2 5 4" xfId="3623"/>
    <cellStyle name="Normal 4 2 5 4 2" xfId="3624"/>
    <cellStyle name="Normal 4 2 5 4 2 2" xfId="3625"/>
    <cellStyle name="Normal 4 2 5 4 2 2 2" xfId="7903"/>
    <cellStyle name="Normal 4 2 5 4 2 3" xfId="7902"/>
    <cellStyle name="Normal 4 2 5 4 3" xfId="3626"/>
    <cellStyle name="Normal 4 2 5 4 3 2" xfId="7904"/>
    <cellStyle name="Normal 4 2 5 4 4" xfId="7901"/>
    <cellStyle name="Normal 4 2 5 5" xfId="3627"/>
    <cellStyle name="Normal 4 2 5 5 2" xfId="3628"/>
    <cellStyle name="Normal 4 2 5 5 2 2" xfId="3629"/>
    <cellStyle name="Normal 4 2 5 5 2 2 2" xfId="7907"/>
    <cellStyle name="Normal 4 2 5 5 2 3" xfId="7906"/>
    <cellStyle name="Normal 4 2 5 5 3" xfId="3630"/>
    <cellStyle name="Normal 4 2 5 5 3 2" xfId="7908"/>
    <cellStyle name="Normal 4 2 5 5 4" xfId="7905"/>
    <cellStyle name="Normal 4 2 5 6" xfId="3631"/>
    <cellStyle name="Normal 4 2 5 6 2" xfId="3632"/>
    <cellStyle name="Normal 4 2 5 6 2 2" xfId="3633"/>
    <cellStyle name="Normal 4 2 5 6 2 2 2" xfId="7911"/>
    <cellStyle name="Normal 4 2 5 6 2 3" xfId="7910"/>
    <cellStyle name="Normal 4 2 5 6 3" xfId="3634"/>
    <cellStyle name="Normal 4 2 5 6 3 2" xfId="7912"/>
    <cellStyle name="Normal 4 2 5 6 4" xfId="7909"/>
    <cellStyle name="Normal 4 2 5 7" xfId="3635"/>
    <cellStyle name="Normal 4 2 5 7 2" xfId="3636"/>
    <cellStyle name="Normal 4 2 5 7 2 2" xfId="3637"/>
    <cellStyle name="Normal 4 2 5 7 2 2 2" xfId="7915"/>
    <cellStyle name="Normal 4 2 5 7 2 3" xfId="7914"/>
    <cellStyle name="Normal 4 2 5 7 3" xfId="3638"/>
    <cellStyle name="Normal 4 2 5 7 3 2" xfId="7916"/>
    <cellStyle name="Normal 4 2 5 7 4" xfId="7913"/>
    <cellStyle name="Normal 4 2 5 8" xfId="3639"/>
    <cellStyle name="Normal 4 2 5 8 2" xfId="3640"/>
    <cellStyle name="Normal 4 2 5 8 2 2" xfId="3641"/>
    <cellStyle name="Normal 4 2 5 8 2 2 2" xfId="7919"/>
    <cellStyle name="Normal 4 2 5 8 2 3" xfId="7918"/>
    <cellStyle name="Normal 4 2 5 8 3" xfId="3642"/>
    <cellStyle name="Normal 4 2 5 8 3 2" xfId="7920"/>
    <cellStyle name="Normal 4 2 5 8 4" xfId="7917"/>
    <cellStyle name="Normal 4 2 5 9" xfId="3643"/>
    <cellStyle name="Normal 4 2 5 9 2" xfId="3644"/>
    <cellStyle name="Normal 4 2 5 9 2 2" xfId="7922"/>
    <cellStyle name="Normal 4 2 5 9 3" xfId="7921"/>
    <cellStyle name="Normal 4 2 6" xfId="3645"/>
    <cellStyle name="Normal 4 2 6 10" xfId="3646"/>
    <cellStyle name="Normal 4 2 6 10 2" xfId="3647"/>
    <cellStyle name="Normal 4 2 6 10 2 2" xfId="7925"/>
    <cellStyle name="Normal 4 2 6 10 3" xfId="7924"/>
    <cellStyle name="Normal 4 2 6 11" xfId="3648"/>
    <cellStyle name="Normal 4 2 6 11 2" xfId="3649"/>
    <cellStyle name="Normal 4 2 6 11 2 2" xfId="7927"/>
    <cellStyle name="Normal 4 2 6 11 3" xfId="7926"/>
    <cellStyle name="Normal 4 2 6 12" xfId="3650"/>
    <cellStyle name="Normal 4 2 6 12 2" xfId="3651"/>
    <cellStyle name="Normal 4 2 6 12 2 2" xfId="7929"/>
    <cellStyle name="Normal 4 2 6 12 3" xfId="7928"/>
    <cellStyle name="Normal 4 2 6 13" xfId="3652"/>
    <cellStyle name="Normal 4 2 6 13 2" xfId="3653"/>
    <cellStyle name="Normal 4 2 6 13 2 2" xfId="7931"/>
    <cellStyle name="Normal 4 2 6 13 3" xfId="7930"/>
    <cellStyle name="Normal 4 2 6 14" xfId="3654"/>
    <cellStyle name="Normal 4 2 6 14 2" xfId="3655"/>
    <cellStyle name="Normal 4 2 6 14 2 2" xfId="7933"/>
    <cellStyle name="Normal 4 2 6 14 3" xfId="7932"/>
    <cellStyle name="Normal 4 2 6 15" xfId="3656"/>
    <cellStyle name="Normal 4 2 6 15 2" xfId="3657"/>
    <cellStyle name="Normal 4 2 6 15 2 2" xfId="7935"/>
    <cellStyle name="Normal 4 2 6 15 3" xfId="7934"/>
    <cellStyle name="Normal 4 2 6 16" xfId="3658"/>
    <cellStyle name="Normal 4 2 6 16 2" xfId="3659"/>
    <cellStyle name="Normal 4 2 6 16 2 2" xfId="7937"/>
    <cellStyle name="Normal 4 2 6 16 3" xfId="7936"/>
    <cellStyle name="Normal 4 2 6 17" xfId="3660"/>
    <cellStyle name="Normal 4 2 6 17 2" xfId="3661"/>
    <cellStyle name="Normal 4 2 6 17 2 2" xfId="7939"/>
    <cellStyle name="Normal 4 2 6 17 3" xfId="7938"/>
    <cellStyle name="Normal 4 2 6 18" xfId="3662"/>
    <cellStyle name="Normal 4 2 6 18 2" xfId="3663"/>
    <cellStyle name="Normal 4 2 6 18 2 2" xfId="7941"/>
    <cellStyle name="Normal 4 2 6 18 3" xfId="7940"/>
    <cellStyle name="Normal 4 2 6 19" xfId="3664"/>
    <cellStyle name="Normal 4 2 6 19 2" xfId="7942"/>
    <cellStyle name="Normal 4 2 6 2" xfId="3665"/>
    <cellStyle name="Normal 4 2 6 2 2" xfId="3666"/>
    <cellStyle name="Normal 4 2 6 2 2 2" xfId="3667"/>
    <cellStyle name="Normal 4 2 6 2 2 2 2" xfId="7945"/>
    <cellStyle name="Normal 4 2 6 2 2 3" xfId="7944"/>
    <cellStyle name="Normal 4 2 6 2 3" xfId="3668"/>
    <cellStyle name="Normal 4 2 6 2 3 2" xfId="7946"/>
    <cellStyle name="Normal 4 2 6 2 4" xfId="7943"/>
    <cellStyle name="Normal 4 2 6 20" xfId="3669"/>
    <cellStyle name="Normal 4 2 6 20 2" xfId="7947"/>
    <cellStyle name="Normal 4 2 6 21" xfId="7923"/>
    <cellStyle name="Normal 4 2 6 3" xfId="3670"/>
    <cellStyle name="Normal 4 2 6 3 2" xfId="3671"/>
    <cellStyle name="Normal 4 2 6 3 2 2" xfId="3672"/>
    <cellStyle name="Normal 4 2 6 3 2 2 2" xfId="7950"/>
    <cellStyle name="Normal 4 2 6 3 2 3" xfId="7949"/>
    <cellStyle name="Normal 4 2 6 3 3" xfId="3673"/>
    <cellStyle name="Normal 4 2 6 3 3 2" xfId="7951"/>
    <cellStyle name="Normal 4 2 6 3 4" xfId="7948"/>
    <cellStyle name="Normal 4 2 6 4" xfId="3674"/>
    <cellStyle name="Normal 4 2 6 4 2" xfId="3675"/>
    <cellStyle name="Normal 4 2 6 4 2 2" xfId="3676"/>
    <cellStyle name="Normal 4 2 6 4 2 2 2" xfId="7954"/>
    <cellStyle name="Normal 4 2 6 4 2 3" xfId="7953"/>
    <cellStyle name="Normal 4 2 6 4 3" xfId="3677"/>
    <cellStyle name="Normal 4 2 6 4 3 2" xfId="7955"/>
    <cellStyle name="Normal 4 2 6 4 4" xfId="7952"/>
    <cellStyle name="Normal 4 2 6 5" xfId="3678"/>
    <cellStyle name="Normal 4 2 6 5 2" xfId="3679"/>
    <cellStyle name="Normal 4 2 6 5 2 2" xfId="3680"/>
    <cellStyle name="Normal 4 2 6 5 2 2 2" xfId="7958"/>
    <cellStyle name="Normal 4 2 6 5 2 3" xfId="7957"/>
    <cellStyle name="Normal 4 2 6 5 3" xfId="3681"/>
    <cellStyle name="Normal 4 2 6 5 3 2" xfId="7959"/>
    <cellStyle name="Normal 4 2 6 5 4" xfId="7956"/>
    <cellStyle name="Normal 4 2 6 6" xfId="3682"/>
    <cellStyle name="Normal 4 2 6 6 2" xfId="3683"/>
    <cellStyle name="Normal 4 2 6 6 2 2" xfId="3684"/>
    <cellStyle name="Normal 4 2 6 6 2 2 2" xfId="7962"/>
    <cellStyle name="Normal 4 2 6 6 2 3" xfId="7961"/>
    <cellStyle name="Normal 4 2 6 6 3" xfId="3685"/>
    <cellStyle name="Normal 4 2 6 6 3 2" xfId="7963"/>
    <cellStyle name="Normal 4 2 6 6 4" xfId="7960"/>
    <cellStyle name="Normal 4 2 6 7" xfId="3686"/>
    <cellStyle name="Normal 4 2 6 7 2" xfId="3687"/>
    <cellStyle name="Normal 4 2 6 7 2 2" xfId="3688"/>
    <cellStyle name="Normal 4 2 6 7 2 2 2" xfId="7966"/>
    <cellStyle name="Normal 4 2 6 7 2 3" xfId="7965"/>
    <cellStyle name="Normal 4 2 6 7 3" xfId="3689"/>
    <cellStyle name="Normal 4 2 6 7 3 2" xfId="7967"/>
    <cellStyle name="Normal 4 2 6 7 4" xfId="7964"/>
    <cellStyle name="Normal 4 2 6 8" xfId="3690"/>
    <cellStyle name="Normal 4 2 6 8 2" xfId="3691"/>
    <cellStyle name="Normal 4 2 6 8 2 2" xfId="3692"/>
    <cellStyle name="Normal 4 2 6 8 2 2 2" xfId="7970"/>
    <cellStyle name="Normal 4 2 6 8 2 3" xfId="7969"/>
    <cellStyle name="Normal 4 2 6 8 3" xfId="3693"/>
    <cellStyle name="Normal 4 2 6 8 3 2" xfId="7971"/>
    <cellStyle name="Normal 4 2 6 8 4" xfId="7968"/>
    <cellStyle name="Normal 4 2 6 9" xfId="3694"/>
    <cellStyle name="Normal 4 2 6 9 2" xfId="3695"/>
    <cellStyle name="Normal 4 2 6 9 2 2" xfId="7973"/>
    <cellStyle name="Normal 4 2 6 9 3" xfId="7972"/>
    <cellStyle name="Normal 4 2 7" xfId="3696"/>
    <cellStyle name="Normal 4 2 7 2" xfId="3697"/>
    <cellStyle name="Normal 4 2 7 2 2" xfId="3698"/>
    <cellStyle name="Normal 4 2 7 2 2 2" xfId="7976"/>
    <cellStyle name="Normal 4 2 7 2 3" xfId="7975"/>
    <cellStyle name="Normal 4 2 7 3" xfId="3699"/>
    <cellStyle name="Normal 4 2 7 3 2" xfId="7977"/>
    <cellStyle name="Normal 4 2 7 4" xfId="7974"/>
    <cellStyle name="Normal 4 2 8" xfId="3700"/>
    <cellStyle name="Normal 4 2 8 2" xfId="3701"/>
    <cellStyle name="Normal 4 2 8 2 2" xfId="3702"/>
    <cellStyle name="Normal 4 2 8 2 2 2" xfId="7980"/>
    <cellStyle name="Normal 4 2 8 2 3" xfId="7979"/>
    <cellStyle name="Normal 4 2 8 3" xfId="3703"/>
    <cellStyle name="Normal 4 2 8 3 2" xfId="7981"/>
    <cellStyle name="Normal 4 2 8 4" xfId="7978"/>
    <cellStyle name="Normal 4 2 9" xfId="3704"/>
    <cellStyle name="Normal 4 2 9 2" xfId="3705"/>
    <cellStyle name="Normal 4 2 9 2 2" xfId="3706"/>
    <cellStyle name="Normal 4 2 9 2 2 2" xfId="7984"/>
    <cellStyle name="Normal 4 2 9 2 3" xfId="7983"/>
    <cellStyle name="Normal 4 2 9 3" xfId="3707"/>
    <cellStyle name="Normal 4 2 9 3 2" xfId="7985"/>
    <cellStyle name="Normal 4 2 9 4" xfId="7982"/>
    <cellStyle name="Normal 4 20" xfId="3708"/>
    <cellStyle name="Normal 4 20 2" xfId="3709"/>
    <cellStyle name="Normal 4 20 2 2" xfId="7987"/>
    <cellStyle name="Normal 4 20 3" xfId="7986"/>
    <cellStyle name="Normal 4 21" xfId="3710"/>
    <cellStyle name="Normal 4 21 2" xfId="3711"/>
    <cellStyle name="Normal 4 21 2 2" xfId="7989"/>
    <cellStyle name="Normal 4 21 3" xfId="7988"/>
    <cellStyle name="Normal 4 22" xfId="3712"/>
    <cellStyle name="Normal 4 22 2" xfId="3713"/>
    <cellStyle name="Normal 4 22 2 2" xfId="7991"/>
    <cellStyle name="Normal 4 22 3" xfId="7990"/>
    <cellStyle name="Normal 4 23" xfId="3714"/>
    <cellStyle name="Normal 4 23 2" xfId="3715"/>
    <cellStyle name="Normal 4 23 2 2" xfId="7993"/>
    <cellStyle name="Normal 4 23 3" xfId="7992"/>
    <cellStyle name="Normal 4 24" xfId="3716"/>
    <cellStyle name="Normal 4 24 2" xfId="3717"/>
    <cellStyle name="Normal 4 24 2 2" xfId="7995"/>
    <cellStyle name="Normal 4 24 3" xfId="7994"/>
    <cellStyle name="Normal 4 25" xfId="3718"/>
    <cellStyle name="Normal 4 25 2" xfId="7996"/>
    <cellStyle name="Normal 4 26" xfId="3719"/>
    <cellStyle name="Normal 4 26 2" xfId="7997"/>
    <cellStyle name="Normal 4 27" xfId="7649"/>
    <cellStyle name="Normal 4 3" xfId="3720"/>
    <cellStyle name="Normal 4 3 10" xfId="3721"/>
    <cellStyle name="Normal 4 3 10 2" xfId="3722"/>
    <cellStyle name="Normal 4 3 10 2 2" xfId="8000"/>
    <cellStyle name="Normal 4 3 10 3" xfId="7999"/>
    <cellStyle name="Normal 4 3 11" xfId="3723"/>
    <cellStyle name="Normal 4 3 11 2" xfId="3724"/>
    <cellStyle name="Normal 4 3 11 2 2" xfId="8002"/>
    <cellStyle name="Normal 4 3 11 3" xfId="8001"/>
    <cellStyle name="Normal 4 3 12" xfId="3725"/>
    <cellStyle name="Normal 4 3 12 2" xfId="3726"/>
    <cellStyle name="Normal 4 3 12 2 2" xfId="8004"/>
    <cellStyle name="Normal 4 3 12 3" xfId="8003"/>
    <cellStyle name="Normal 4 3 13" xfId="3727"/>
    <cellStyle name="Normal 4 3 13 2" xfId="3728"/>
    <cellStyle name="Normal 4 3 13 2 2" xfId="8006"/>
    <cellStyle name="Normal 4 3 13 3" xfId="8005"/>
    <cellStyle name="Normal 4 3 14" xfId="3729"/>
    <cellStyle name="Normal 4 3 14 2" xfId="3730"/>
    <cellStyle name="Normal 4 3 14 2 2" xfId="8008"/>
    <cellStyle name="Normal 4 3 14 3" xfId="8007"/>
    <cellStyle name="Normal 4 3 15" xfId="3731"/>
    <cellStyle name="Normal 4 3 15 2" xfId="3732"/>
    <cellStyle name="Normal 4 3 15 2 2" xfId="8010"/>
    <cellStyle name="Normal 4 3 15 3" xfId="8009"/>
    <cellStyle name="Normal 4 3 16" xfId="3733"/>
    <cellStyle name="Normal 4 3 16 2" xfId="3734"/>
    <cellStyle name="Normal 4 3 16 2 2" xfId="8012"/>
    <cellStyle name="Normal 4 3 16 3" xfId="8011"/>
    <cellStyle name="Normal 4 3 17" xfId="3735"/>
    <cellStyle name="Normal 4 3 17 2" xfId="3736"/>
    <cellStyle name="Normal 4 3 17 2 2" xfId="8014"/>
    <cellStyle name="Normal 4 3 17 3" xfId="8013"/>
    <cellStyle name="Normal 4 3 18" xfId="3737"/>
    <cellStyle name="Normal 4 3 18 2" xfId="3738"/>
    <cellStyle name="Normal 4 3 18 2 2" xfId="8016"/>
    <cellStyle name="Normal 4 3 18 3" xfId="8015"/>
    <cellStyle name="Normal 4 3 19" xfId="3739"/>
    <cellStyle name="Normal 4 3 19 2" xfId="8017"/>
    <cellStyle name="Normal 4 3 2" xfId="3740"/>
    <cellStyle name="Normal 4 3 2 2" xfId="3741"/>
    <cellStyle name="Normal 4 3 2 2 2" xfId="3742"/>
    <cellStyle name="Normal 4 3 2 2 2 2" xfId="8020"/>
    <cellStyle name="Normal 4 3 2 2 3" xfId="8019"/>
    <cellStyle name="Normal 4 3 2 3" xfId="3743"/>
    <cellStyle name="Normal 4 3 2 3 2" xfId="8021"/>
    <cellStyle name="Normal 4 3 2 4" xfId="8018"/>
    <cellStyle name="Normal 4 3 20" xfId="3744"/>
    <cellStyle name="Normal 4 3 20 2" xfId="8022"/>
    <cellStyle name="Normal 4 3 21" xfId="7998"/>
    <cellStyle name="Normal 4 3 3" xfId="3745"/>
    <cellStyle name="Normal 4 3 3 2" xfId="3746"/>
    <cellStyle name="Normal 4 3 3 2 2" xfId="3747"/>
    <cellStyle name="Normal 4 3 3 2 2 2" xfId="8025"/>
    <cellStyle name="Normal 4 3 3 2 3" xfId="8024"/>
    <cellStyle name="Normal 4 3 3 3" xfId="3748"/>
    <cellStyle name="Normal 4 3 3 3 2" xfId="8026"/>
    <cellStyle name="Normal 4 3 3 4" xfId="8023"/>
    <cellStyle name="Normal 4 3 4" xfId="3749"/>
    <cellStyle name="Normal 4 3 4 2" xfId="3750"/>
    <cellStyle name="Normal 4 3 4 2 2" xfId="3751"/>
    <cellStyle name="Normal 4 3 4 2 2 2" xfId="8029"/>
    <cellStyle name="Normal 4 3 4 2 3" xfId="8028"/>
    <cellStyle name="Normal 4 3 4 3" xfId="3752"/>
    <cellStyle name="Normal 4 3 4 3 2" xfId="8030"/>
    <cellStyle name="Normal 4 3 4 4" xfId="8027"/>
    <cellStyle name="Normal 4 3 5" xfId="3753"/>
    <cellStyle name="Normal 4 3 5 2" xfId="3754"/>
    <cellStyle name="Normal 4 3 5 2 2" xfId="3755"/>
    <cellStyle name="Normal 4 3 5 2 2 2" xfId="8033"/>
    <cellStyle name="Normal 4 3 5 2 3" xfId="8032"/>
    <cellStyle name="Normal 4 3 5 3" xfId="3756"/>
    <cellStyle name="Normal 4 3 5 3 2" xfId="8034"/>
    <cellStyle name="Normal 4 3 5 4" xfId="8031"/>
    <cellStyle name="Normal 4 3 6" xfId="3757"/>
    <cellStyle name="Normal 4 3 6 2" xfId="3758"/>
    <cellStyle name="Normal 4 3 6 2 2" xfId="3759"/>
    <cellStyle name="Normal 4 3 6 2 2 2" xfId="8037"/>
    <cellStyle name="Normal 4 3 6 2 3" xfId="8036"/>
    <cellStyle name="Normal 4 3 6 3" xfId="3760"/>
    <cellStyle name="Normal 4 3 6 3 2" xfId="8038"/>
    <cellStyle name="Normal 4 3 6 4" xfId="8035"/>
    <cellStyle name="Normal 4 3 7" xfId="3761"/>
    <cellStyle name="Normal 4 3 7 2" xfId="3762"/>
    <cellStyle name="Normal 4 3 7 2 2" xfId="3763"/>
    <cellStyle name="Normal 4 3 7 2 2 2" xfId="8041"/>
    <cellStyle name="Normal 4 3 7 2 3" xfId="8040"/>
    <cellStyle name="Normal 4 3 7 3" xfId="3764"/>
    <cellStyle name="Normal 4 3 7 3 2" xfId="8042"/>
    <cellStyle name="Normal 4 3 7 4" xfId="8039"/>
    <cellStyle name="Normal 4 3 8" xfId="3765"/>
    <cellStyle name="Normal 4 3 8 2" xfId="3766"/>
    <cellStyle name="Normal 4 3 8 2 2" xfId="3767"/>
    <cellStyle name="Normal 4 3 8 2 2 2" xfId="8045"/>
    <cellStyle name="Normal 4 3 8 2 3" xfId="8044"/>
    <cellStyle name="Normal 4 3 8 3" xfId="3768"/>
    <cellStyle name="Normal 4 3 8 3 2" xfId="8046"/>
    <cellStyle name="Normal 4 3 8 4" xfId="8043"/>
    <cellStyle name="Normal 4 3 9" xfId="3769"/>
    <cellStyle name="Normal 4 3 9 2" xfId="3770"/>
    <cellStyle name="Normal 4 3 9 2 2" xfId="8048"/>
    <cellStyle name="Normal 4 3 9 3" xfId="8047"/>
    <cellStyle name="Normal 4 4" xfId="3771"/>
    <cellStyle name="Normal 4 4 10" xfId="3772"/>
    <cellStyle name="Normal 4 4 10 2" xfId="3773"/>
    <cellStyle name="Normal 4 4 10 2 2" xfId="8051"/>
    <cellStyle name="Normal 4 4 10 3" xfId="8050"/>
    <cellStyle name="Normal 4 4 11" xfId="3774"/>
    <cellStyle name="Normal 4 4 11 2" xfId="3775"/>
    <cellStyle name="Normal 4 4 11 2 2" xfId="8053"/>
    <cellStyle name="Normal 4 4 11 3" xfId="8052"/>
    <cellStyle name="Normal 4 4 12" xfId="3776"/>
    <cellStyle name="Normal 4 4 12 2" xfId="3777"/>
    <cellStyle name="Normal 4 4 12 2 2" xfId="8055"/>
    <cellStyle name="Normal 4 4 12 3" xfId="8054"/>
    <cellStyle name="Normal 4 4 13" xfId="3778"/>
    <cellStyle name="Normal 4 4 13 2" xfId="3779"/>
    <cellStyle name="Normal 4 4 13 2 2" xfId="8057"/>
    <cellStyle name="Normal 4 4 13 3" xfId="8056"/>
    <cellStyle name="Normal 4 4 14" xfId="3780"/>
    <cellStyle name="Normal 4 4 14 2" xfId="3781"/>
    <cellStyle name="Normal 4 4 14 2 2" xfId="8059"/>
    <cellStyle name="Normal 4 4 14 3" xfId="8058"/>
    <cellStyle name="Normal 4 4 15" xfId="3782"/>
    <cellStyle name="Normal 4 4 15 2" xfId="3783"/>
    <cellStyle name="Normal 4 4 15 2 2" xfId="8061"/>
    <cellStyle name="Normal 4 4 15 3" xfId="8060"/>
    <cellStyle name="Normal 4 4 16" xfId="3784"/>
    <cellStyle name="Normal 4 4 16 2" xfId="3785"/>
    <cellStyle name="Normal 4 4 16 2 2" xfId="8063"/>
    <cellStyle name="Normal 4 4 16 3" xfId="8062"/>
    <cellStyle name="Normal 4 4 17" xfId="3786"/>
    <cellStyle name="Normal 4 4 17 2" xfId="3787"/>
    <cellStyle name="Normal 4 4 17 2 2" xfId="8065"/>
    <cellStyle name="Normal 4 4 17 3" xfId="8064"/>
    <cellStyle name="Normal 4 4 18" xfId="3788"/>
    <cellStyle name="Normal 4 4 18 2" xfId="3789"/>
    <cellStyle name="Normal 4 4 18 2 2" xfId="8067"/>
    <cellStyle name="Normal 4 4 18 3" xfId="8066"/>
    <cellStyle name="Normal 4 4 19" xfId="3790"/>
    <cellStyle name="Normal 4 4 19 2" xfId="8068"/>
    <cellStyle name="Normal 4 4 2" xfId="3791"/>
    <cellStyle name="Normal 4 4 2 2" xfId="3792"/>
    <cellStyle name="Normal 4 4 2 2 2" xfId="3793"/>
    <cellStyle name="Normal 4 4 2 2 2 2" xfId="8071"/>
    <cellStyle name="Normal 4 4 2 2 3" xfId="8070"/>
    <cellStyle name="Normal 4 4 2 3" xfId="3794"/>
    <cellStyle name="Normal 4 4 2 3 2" xfId="8072"/>
    <cellStyle name="Normal 4 4 2 4" xfId="8069"/>
    <cellStyle name="Normal 4 4 20" xfId="3795"/>
    <cellStyle name="Normal 4 4 20 2" xfId="8073"/>
    <cellStyle name="Normal 4 4 21" xfId="8049"/>
    <cellStyle name="Normal 4 4 3" xfId="3796"/>
    <cellStyle name="Normal 4 4 3 2" xfId="3797"/>
    <cellStyle name="Normal 4 4 3 2 2" xfId="3798"/>
    <cellStyle name="Normal 4 4 3 2 2 2" xfId="8076"/>
    <cellStyle name="Normal 4 4 3 2 3" xfId="8075"/>
    <cellStyle name="Normal 4 4 3 3" xfId="3799"/>
    <cellStyle name="Normal 4 4 3 3 2" xfId="8077"/>
    <cellStyle name="Normal 4 4 3 4" xfId="8074"/>
    <cellStyle name="Normal 4 4 4" xfId="3800"/>
    <cellStyle name="Normal 4 4 4 2" xfId="3801"/>
    <cellStyle name="Normal 4 4 4 2 2" xfId="3802"/>
    <cellStyle name="Normal 4 4 4 2 2 2" xfId="8080"/>
    <cellStyle name="Normal 4 4 4 2 3" xfId="8079"/>
    <cellStyle name="Normal 4 4 4 3" xfId="3803"/>
    <cellStyle name="Normal 4 4 4 3 2" xfId="8081"/>
    <cellStyle name="Normal 4 4 4 4" xfId="8078"/>
    <cellStyle name="Normal 4 4 5" xfId="3804"/>
    <cellStyle name="Normal 4 4 5 2" xfId="3805"/>
    <cellStyle name="Normal 4 4 5 2 2" xfId="3806"/>
    <cellStyle name="Normal 4 4 5 2 2 2" xfId="8084"/>
    <cellStyle name="Normal 4 4 5 2 3" xfId="8083"/>
    <cellStyle name="Normal 4 4 5 3" xfId="3807"/>
    <cellStyle name="Normal 4 4 5 3 2" xfId="8085"/>
    <cellStyle name="Normal 4 4 5 4" xfId="8082"/>
    <cellStyle name="Normal 4 4 6" xfId="3808"/>
    <cellStyle name="Normal 4 4 6 2" xfId="3809"/>
    <cellStyle name="Normal 4 4 6 2 2" xfId="3810"/>
    <cellStyle name="Normal 4 4 6 2 2 2" xfId="8088"/>
    <cellStyle name="Normal 4 4 6 2 3" xfId="8087"/>
    <cellStyle name="Normal 4 4 6 3" xfId="3811"/>
    <cellStyle name="Normal 4 4 6 3 2" xfId="8089"/>
    <cellStyle name="Normal 4 4 6 4" xfId="8086"/>
    <cellStyle name="Normal 4 4 7" xfId="3812"/>
    <cellStyle name="Normal 4 4 7 2" xfId="3813"/>
    <cellStyle name="Normal 4 4 7 2 2" xfId="3814"/>
    <cellStyle name="Normal 4 4 7 2 2 2" xfId="8092"/>
    <cellStyle name="Normal 4 4 7 2 3" xfId="8091"/>
    <cellStyle name="Normal 4 4 7 3" xfId="3815"/>
    <cellStyle name="Normal 4 4 7 3 2" xfId="8093"/>
    <cellStyle name="Normal 4 4 7 4" xfId="8090"/>
    <cellStyle name="Normal 4 4 8" xfId="3816"/>
    <cellStyle name="Normal 4 4 8 2" xfId="3817"/>
    <cellStyle name="Normal 4 4 8 2 2" xfId="3818"/>
    <cellStyle name="Normal 4 4 8 2 2 2" xfId="8096"/>
    <cellStyle name="Normal 4 4 8 2 3" xfId="8095"/>
    <cellStyle name="Normal 4 4 8 3" xfId="3819"/>
    <cellStyle name="Normal 4 4 8 3 2" xfId="8097"/>
    <cellStyle name="Normal 4 4 8 4" xfId="8094"/>
    <cellStyle name="Normal 4 4 9" xfId="3820"/>
    <cellStyle name="Normal 4 4 9 2" xfId="3821"/>
    <cellStyle name="Normal 4 4 9 2 2" xfId="8099"/>
    <cellStyle name="Normal 4 4 9 3" xfId="8098"/>
    <cellStyle name="Normal 4 5" xfId="3822"/>
    <cellStyle name="Normal 4 5 10" xfId="3823"/>
    <cellStyle name="Normal 4 5 10 2" xfId="3824"/>
    <cellStyle name="Normal 4 5 10 2 2" xfId="8102"/>
    <cellStyle name="Normal 4 5 10 3" xfId="8101"/>
    <cellStyle name="Normal 4 5 11" xfId="3825"/>
    <cellStyle name="Normal 4 5 11 2" xfId="3826"/>
    <cellStyle name="Normal 4 5 11 2 2" xfId="8104"/>
    <cellStyle name="Normal 4 5 11 3" xfId="8103"/>
    <cellStyle name="Normal 4 5 12" xfId="3827"/>
    <cellStyle name="Normal 4 5 12 2" xfId="3828"/>
    <cellStyle name="Normal 4 5 12 2 2" xfId="8106"/>
    <cellStyle name="Normal 4 5 12 3" xfId="8105"/>
    <cellStyle name="Normal 4 5 13" xfId="3829"/>
    <cellStyle name="Normal 4 5 13 2" xfId="3830"/>
    <cellStyle name="Normal 4 5 13 2 2" xfId="8108"/>
    <cellStyle name="Normal 4 5 13 3" xfId="8107"/>
    <cellStyle name="Normal 4 5 14" xfId="3831"/>
    <cellStyle name="Normal 4 5 14 2" xfId="3832"/>
    <cellStyle name="Normal 4 5 14 2 2" xfId="8110"/>
    <cellStyle name="Normal 4 5 14 3" xfId="8109"/>
    <cellStyle name="Normal 4 5 15" xfId="3833"/>
    <cellStyle name="Normal 4 5 15 2" xfId="3834"/>
    <cellStyle name="Normal 4 5 15 2 2" xfId="8112"/>
    <cellStyle name="Normal 4 5 15 3" xfId="8111"/>
    <cellStyle name="Normal 4 5 16" xfId="3835"/>
    <cellStyle name="Normal 4 5 16 2" xfId="3836"/>
    <cellStyle name="Normal 4 5 16 2 2" xfId="8114"/>
    <cellStyle name="Normal 4 5 16 3" xfId="8113"/>
    <cellStyle name="Normal 4 5 17" xfId="3837"/>
    <cellStyle name="Normal 4 5 17 2" xfId="3838"/>
    <cellStyle name="Normal 4 5 17 2 2" xfId="8116"/>
    <cellStyle name="Normal 4 5 17 3" xfId="8115"/>
    <cellStyle name="Normal 4 5 18" xfId="3839"/>
    <cellStyle name="Normal 4 5 18 2" xfId="3840"/>
    <cellStyle name="Normal 4 5 18 2 2" xfId="8118"/>
    <cellStyle name="Normal 4 5 18 3" xfId="8117"/>
    <cellStyle name="Normal 4 5 19" xfId="3841"/>
    <cellStyle name="Normal 4 5 19 2" xfId="8119"/>
    <cellStyle name="Normal 4 5 2" xfId="3842"/>
    <cellStyle name="Normal 4 5 2 2" xfId="3843"/>
    <cellStyle name="Normal 4 5 2 2 2" xfId="3844"/>
    <cellStyle name="Normal 4 5 2 2 2 2" xfId="8122"/>
    <cellStyle name="Normal 4 5 2 2 3" xfId="8121"/>
    <cellStyle name="Normal 4 5 2 3" xfId="3845"/>
    <cellStyle name="Normal 4 5 2 3 2" xfId="8123"/>
    <cellStyle name="Normal 4 5 2 4" xfId="8120"/>
    <cellStyle name="Normal 4 5 20" xfId="3846"/>
    <cellStyle name="Normal 4 5 20 2" xfId="8124"/>
    <cellStyle name="Normal 4 5 21" xfId="8100"/>
    <cellStyle name="Normal 4 5 3" xfId="3847"/>
    <cellStyle name="Normal 4 5 3 2" xfId="3848"/>
    <cellStyle name="Normal 4 5 3 2 2" xfId="3849"/>
    <cellStyle name="Normal 4 5 3 2 2 2" xfId="8127"/>
    <cellStyle name="Normal 4 5 3 2 3" xfId="8126"/>
    <cellStyle name="Normal 4 5 3 3" xfId="3850"/>
    <cellStyle name="Normal 4 5 3 3 2" xfId="8128"/>
    <cellStyle name="Normal 4 5 3 4" xfId="8125"/>
    <cellStyle name="Normal 4 5 4" xfId="3851"/>
    <cellStyle name="Normal 4 5 4 2" xfId="3852"/>
    <cellStyle name="Normal 4 5 4 2 2" xfId="3853"/>
    <cellStyle name="Normal 4 5 4 2 2 2" xfId="8131"/>
    <cellStyle name="Normal 4 5 4 2 3" xfId="8130"/>
    <cellStyle name="Normal 4 5 4 3" xfId="3854"/>
    <cellStyle name="Normal 4 5 4 3 2" xfId="8132"/>
    <cellStyle name="Normal 4 5 4 4" xfId="8129"/>
    <cellStyle name="Normal 4 5 5" xfId="3855"/>
    <cellStyle name="Normal 4 5 5 2" xfId="3856"/>
    <cellStyle name="Normal 4 5 5 2 2" xfId="3857"/>
    <cellStyle name="Normal 4 5 5 2 2 2" xfId="8135"/>
    <cellStyle name="Normal 4 5 5 2 3" xfId="8134"/>
    <cellStyle name="Normal 4 5 5 3" xfId="3858"/>
    <cellStyle name="Normal 4 5 5 3 2" xfId="8136"/>
    <cellStyle name="Normal 4 5 5 4" xfId="8133"/>
    <cellStyle name="Normal 4 5 6" xfId="3859"/>
    <cellStyle name="Normal 4 5 6 2" xfId="3860"/>
    <cellStyle name="Normal 4 5 6 2 2" xfId="3861"/>
    <cellStyle name="Normal 4 5 6 2 2 2" xfId="8139"/>
    <cellStyle name="Normal 4 5 6 2 3" xfId="8138"/>
    <cellStyle name="Normal 4 5 6 3" xfId="3862"/>
    <cellStyle name="Normal 4 5 6 3 2" xfId="8140"/>
    <cellStyle name="Normal 4 5 6 4" xfId="8137"/>
    <cellStyle name="Normal 4 5 7" xfId="3863"/>
    <cellStyle name="Normal 4 5 7 2" xfId="3864"/>
    <cellStyle name="Normal 4 5 7 2 2" xfId="3865"/>
    <cellStyle name="Normal 4 5 7 2 2 2" xfId="8143"/>
    <cellStyle name="Normal 4 5 7 2 3" xfId="8142"/>
    <cellStyle name="Normal 4 5 7 3" xfId="3866"/>
    <cellStyle name="Normal 4 5 7 3 2" xfId="8144"/>
    <cellStyle name="Normal 4 5 7 4" xfId="8141"/>
    <cellStyle name="Normal 4 5 8" xfId="3867"/>
    <cellStyle name="Normal 4 5 8 2" xfId="3868"/>
    <cellStyle name="Normal 4 5 8 2 2" xfId="3869"/>
    <cellStyle name="Normal 4 5 8 2 2 2" xfId="8147"/>
    <cellStyle name="Normal 4 5 8 2 3" xfId="8146"/>
    <cellStyle name="Normal 4 5 8 3" xfId="3870"/>
    <cellStyle name="Normal 4 5 8 3 2" xfId="8148"/>
    <cellStyle name="Normal 4 5 8 4" xfId="8145"/>
    <cellStyle name="Normal 4 5 9" xfId="3871"/>
    <cellStyle name="Normal 4 5 9 2" xfId="3872"/>
    <cellStyle name="Normal 4 5 9 2 2" xfId="8150"/>
    <cellStyle name="Normal 4 5 9 3" xfId="8149"/>
    <cellStyle name="Normal 4 6" xfId="3873"/>
    <cellStyle name="Normal 4 6 10" xfId="3874"/>
    <cellStyle name="Normal 4 6 10 2" xfId="3875"/>
    <cellStyle name="Normal 4 6 10 2 2" xfId="8153"/>
    <cellStyle name="Normal 4 6 10 3" xfId="8152"/>
    <cellStyle name="Normal 4 6 11" xfId="3876"/>
    <cellStyle name="Normal 4 6 11 2" xfId="3877"/>
    <cellStyle name="Normal 4 6 11 2 2" xfId="8155"/>
    <cellStyle name="Normal 4 6 11 3" xfId="8154"/>
    <cellStyle name="Normal 4 6 12" xfId="3878"/>
    <cellStyle name="Normal 4 6 12 2" xfId="3879"/>
    <cellStyle name="Normal 4 6 12 2 2" xfId="8157"/>
    <cellStyle name="Normal 4 6 12 3" xfId="8156"/>
    <cellStyle name="Normal 4 6 13" xfId="3880"/>
    <cellStyle name="Normal 4 6 13 2" xfId="3881"/>
    <cellStyle name="Normal 4 6 13 2 2" xfId="8159"/>
    <cellStyle name="Normal 4 6 13 3" xfId="8158"/>
    <cellStyle name="Normal 4 6 14" xfId="3882"/>
    <cellStyle name="Normal 4 6 14 2" xfId="3883"/>
    <cellStyle name="Normal 4 6 14 2 2" xfId="8161"/>
    <cellStyle name="Normal 4 6 14 3" xfId="8160"/>
    <cellStyle name="Normal 4 6 15" xfId="3884"/>
    <cellStyle name="Normal 4 6 15 2" xfId="3885"/>
    <cellStyle name="Normal 4 6 15 2 2" xfId="8163"/>
    <cellStyle name="Normal 4 6 15 3" xfId="8162"/>
    <cellStyle name="Normal 4 6 16" xfId="3886"/>
    <cellStyle name="Normal 4 6 16 2" xfId="3887"/>
    <cellStyle name="Normal 4 6 16 2 2" xfId="8165"/>
    <cellStyle name="Normal 4 6 16 3" xfId="8164"/>
    <cellStyle name="Normal 4 6 17" xfId="3888"/>
    <cellStyle name="Normal 4 6 17 2" xfId="3889"/>
    <cellStyle name="Normal 4 6 17 2 2" xfId="8167"/>
    <cellStyle name="Normal 4 6 17 3" xfId="8166"/>
    <cellStyle name="Normal 4 6 18" xfId="3890"/>
    <cellStyle name="Normal 4 6 18 2" xfId="3891"/>
    <cellStyle name="Normal 4 6 18 2 2" xfId="8169"/>
    <cellStyle name="Normal 4 6 18 3" xfId="8168"/>
    <cellStyle name="Normal 4 6 19" xfId="3892"/>
    <cellStyle name="Normal 4 6 19 2" xfId="8170"/>
    <cellStyle name="Normal 4 6 2" xfId="3893"/>
    <cellStyle name="Normal 4 6 2 2" xfId="3894"/>
    <cellStyle name="Normal 4 6 2 2 2" xfId="3895"/>
    <cellStyle name="Normal 4 6 2 2 2 2" xfId="8173"/>
    <cellStyle name="Normal 4 6 2 2 3" xfId="8172"/>
    <cellStyle name="Normal 4 6 2 3" xfId="3896"/>
    <cellStyle name="Normal 4 6 2 3 2" xfId="8174"/>
    <cellStyle name="Normal 4 6 2 4" xfId="8171"/>
    <cellStyle name="Normal 4 6 20" xfId="3897"/>
    <cellStyle name="Normal 4 6 20 2" xfId="8175"/>
    <cellStyle name="Normal 4 6 21" xfId="8151"/>
    <cellStyle name="Normal 4 6 3" xfId="3898"/>
    <cellStyle name="Normal 4 6 3 2" xfId="3899"/>
    <cellStyle name="Normal 4 6 3 2 2" xfId="3900"/>
    <cellStyle name="Normal 4 6 3 2 2 2" xfId="8178"/>
    <cellStyle name="Normal 4 6 3 2 3" xfId="8177"/>
    <cellStyle name="Normal 4 6 3 3" xfId="3901"/>
    <cellStyle name="Normal 4 6 3 3 2" xfId="8179"/>
    <cellStyle name="Normal 4 6 3 4" xfId="8176"/>
    <cellStyle name="Normal 4 6 4" xfId="3902"/>
    <cellStyle name="Normal 4 6 4 2" xfId="3903"/>
    <cellStyle name="Normal 4 6 4 2 2" xfId="3904"/>
    <cellStyle name="Normal 4 6 4 2 2 2" xfId="8182"/>
    <cellStyle name="Normal 4 6 4 2 3" xfId="8181"/>
    <cellStyle name="Normal 4 6 4 3" xfId="3905"/>
    <cellStyle name="Normal 4 6 4 3 2" xfId="8183"/>
    <cellStyle name="Normal 4 6 4 4" xfId="8180"/>
    <cellStyle name="Normal 4 6 5" xfId="3906"/>
    <cellStyle name="Normal 4 6 5 2" xfId="3907"/>
    <cellStyle name="Normal 4 6 5 2 2" xfId="3908"/>
    <cellStyle name="Normal 4 6 5 2 2 2" xfId="8186"/>
    <cellStyle name="Normal 4 6 5 2 3" xfId="8185"/>
    <cellStyle name="Normal 4 6 5 3" xfId="3909"/>
    <cellStyle name="Normal 4 6 5 3 2" xfId="8187"/>
    <cellStyle name="Normal 4 6 5 4" xfId="8184"/>
    <cellStyle name="Normal 4 6 6" xfId="3910"/>
    <cellStyle name="Normal 4 6 6 2" xfId="3911"/>
    <cellStyle name="Normal 4 6 6 2 2" xfId="3912"/>
    <cellStyle name="Normal 4 6 6 2 2 2" xfId="8190"/>
    <cellStyle name="Normal 4 6 6 2 3" xfId="8189"/>
    <cellStyle name="Normal 4 6 6 3" xfId="3913"/>
    <cellStyle name="Normal 4 6 6 3 2" xfId="8191"/>
    <cellStyle name="Normal 4 6 6 4" xfId="8188"/>
    <cellStyle name="Normal 4 6 7" xfId="3914"/>
    <cellStyle name="Normal 4 6 7 2" xfId="3915"/>
    <cellStyle name="Normal 4 6 7 2 2" xfId="3916"/>
    <cellStyle name="Normal 4 6 7 2 2 2" xfId="8194"/>
    <cellStyle name="Normal 4 6 7 2 3" xfId="8193"/>
    <cellStyle name="Normal 4 6 7 3" xfId="3917"/>
    <cellStyle name="Normal 4 6 7 3 2" xfId="8195"/>
    <cellStyle name="Normal 4 6 7 4" xfId="8192"/>
    <cellStyle name="Normal 4 6 8" xfId="3918"/>
    <cellStyle name="Normal 4 6 8 2" xfId="3919"/>
    <cellStyle name="Normal 4 6 8 2 2" xfId="3920"/>
    <cellStyle name="Normal 4 6 8 2 2 2" xfId="8198"/>
    <cellStyle name="Normal 4 6 8 2 3" xfId="8197"/>
    <cellStyle name="Normal 4 6 8 3" xfId="3921"/>
    <cellStyle name="Normal 4 6 8 3 2" xfId="8199"/>
    <cellStyle name="Normal 4 6 8 4" xfId="8196"/>
    <cellStyle name="Normal 4 6 9" xfId="3922"/>
    <cellStyle name="Normal 4 6 9 2" xfId="3923"/>
    <cellStyle name="Normal 4 6 9 2 2" xfId="8201"/>
    <cellStyle name="Normal 4 6 9 3" xfId="8200"/>
    <cellStyle name="Normal 4 7" xfId="3924"/>
    <cellStyle name="Normal 4 7 10" xfId="3925"/>
    <cellStyle name="Normal 4 7 10 2" xfId="3926"/>
    <cellStyle name="Normal 4 7 10 2 2" xfId="8204"/>
    <cellStyle name="Normal 4 7 10 3" xfId="8203"/>
    <cellStyle name="Normal 4 7 11" xfId="3927"/>
    <cellStyle name="Normal 4 7 11 2" xfId="3928"/>
    <cellStyle name="Normal 4 7 11 2 2" xfId="8206"/>
    <cellStyle name="Normal 4 7 11 3" xfId="8205"/>
    <cellStyle name="Normal 4 7 12" xfId="3929"/>
    <cellStyle name="Normal 4 7 12 2" xfId="3930"/>
    <cellStyle name="Normal 4 7 12 2 2" xfId="8208"/>
    <cellStyle name="Normal 4 7 12 3" xfId="8207"/>
    <cellStyle name="Normal 4 7 13" xfId="3931"/>
    <cellStyle name="Normal 4 7 13 2" xfId="3932"/>
    <cellStyle name="Normal 4 7 13 2 2" xfId="8210"/>
    <cellStyle name="Normal 4 7 13 3" xfId="8209"/>
    <cellStyle name="Normal 4 7 14" xfId="3933"/>
    <cellStyle name="Normal 4 7 14 2" xfId="3934"/>
    <cellStyle name="Normal 4 7 14 2 2" xfId="8212"/>
    <cellStyle name="Normal 4 7 14 3" xfId="8211"/>
    <cellStyle name="Normal 4 7 15" xfId="3935"/>
    <cellStyle name="Normal 4 7 15 2" xfId="3936"/>
    <cellStyle name="Normal 4 7 15 2 2" xfId="8214"/>
    <cellStyle name="Normal 4 7 15 3" xfId="8213"/>
    <cellStyle name="Normal 4 7 16" xfId="3937"/>
    <cellStyle name="Normal 4 7 16 2" xfId="3938"/>
    <cellStyle name="Normal 4 7 16 2 2" xfId="8216"/>
    <cellStyle name="Normal 4 7 16 3" xfId="8215"/>
    <cellStyle name="Normal 4 7 17" xfId="3939"/>
    <cellStyle name="Normal 4 7 17 2" xfId="3940"/>
    <cellStyle name="Normal 4 7 17 2 2" xfId="8218"/>
    <cellStyle name="Normal 4 7 17 3" xfId="8217"/>
    <cellStyle name="Normal 4 7 18" xfId="3941"/>
    <cellStyle name="Normal 4 7 18 2" xfId="3942"/>
    <cellStyle name="Normal 4 7 18 2 2" xfId="8220"/>
    <cellStyle name="Normal 4 7 18 3" xfId="8219"/>
    <cellStyle name="Normal 4 7 19" xfId="3943"/>
    <cellStyle name="Normal 4 7 19 2" xfId="8221"/>
    <cellStyle name="Normal 4 7 2" xfId="3944"/>
    <cellStyle name="Normal 4 7 2 2" xfId="3945"/>
    <cellStyle name="Normal 4 7 2 2 2" xfId="3946"/>
    <cellStyle name="Normal 4 7 2 2 2 2" xfId="8224"/>
    <cellStyle name="Normal 4 7 2 2 3" xfId="8223"/>
    <cellStyle name="Normal 4 7 2 3" xfId="3947"/>
    <cellStyle name="Normal 4 7 2 3 2" xfId="8225"/>
    <cellStyle name="Normal 4 7 2 4" xfId="8222"/>
    <cellStyle name="Normal 4 7 20" xfId="3948"/>
    <cellStyle name="Normal 4 7 20 2" xfId="8226"/>
    <cellStyle name="Normal 4 7 21" xfId="8202"/>
    <cellStyle name="Normal 4 7 3" xfId="3949"/>
    <cellStyle name="Normal 4 7 3 2" xfId="3950"/>
    <cellStyle name="Normal 4 7 3 2 2" xfId="3951"/>
    <cellStyle name="Normal 4 7 3 2 2 2" xfId="8229"/>
    <cellStyle name="Normal 4 7 3 2 3" xfId="8228"/>
    <cellStyle name="Normal 4 7 3 3" xfId="3952"/>
    <cellStyle name="Normal 4 7 3 3 2" xfId="8230"/>
    <cellStyle name="Normal 4 7 3 4" xfId="8227"/>
    <cellStyle name="Normal 4 7 4" xfId="3953"/>
    <cellStyle name="Normal 4 7 4 2" xfId="3954"/>
    <cellStyle name="Normal 4 7 4 2 2" xfId="3955"/>
    <cellStyle name="Normal 4 7 4 2 2 2" xfId="8233"/>
    <cellStyle name="Normal 4 7 4 2 3" xfId="8232"/>
    <cellStyle name="Normal 4 7 4 3" xfId="3956"/>
    <cellStyle name="Normal 4 7 4 3 2" xfId="8234"/>
    <cellStyle name="Normal 4 7 4 4" xfId="8231"/>
    <cellStyle name="Normal 4 7 5" xfId="3957"/>
    <cellStyle name="Normal 4 7 5 2" xfId="3958"/>
    <cellStyle name="Normal 4 7 5 2 2" xfId="3959"/>
    <cellStyle name="Normal 4 7 5 2 2 2" xfId="8237"/>
    <cellStyle name="Normal 4 7 5 2 3" xfId="8236"/>
    <cellStyle name="Normal 4 7 5 3" xfId="3960"/>
    <cellStyle name="Normal 4 7 5 3 2" xfId="8238"/>
    <cellStyle name="Normal 4 7 5 4" xfId="8235"/>
    <cellStyle name="Normal 4 7 6" xfId="3961"/>
    <cellStyle name="Normal 4 7 6 2" xfId="3962"/>
    <cellStyle name="Normal 4 7 6 2 2" xfId="3963"/>
    <cellStyle name="Normal 4 7 6 2 2 2" xfId="8241"/>
    <cellStyle name="Normal 4 7 6 2 3" xfId="8240"/>
    <cellStyle name="Normal 4 7 6 3" xfId="3964"/>
    <cellStyle name="Normal 4 7 6 3 2" xfId="8242"/>
    <cellStyle name="Normal 4 7 6 4" xfId="8239"/>
    <cellStyle name="Normal 4 7 7" xfId="3965"/>
    <cellStyle name="Normal 4 7 7 2" xfId="3966"/>
    <cellStyle name="Normal 4 7 7 2 2" xfId="3967"/>
    <cellStyle name="Normal 4 7 7 2 2 2" xfId="8245"/>
    <cellStyle name="Normal 4 7 7 2 3" xfId="8244"/>
    <cellStyle name="Normal 4 7 7 3" xfId="3968"/>
    <cellStyle name="Normal 4 7 7 3 2" xfId="8246"/>
    <cellStyle name="Normal 4 7 7 4" xfId="8243"/>
    <cellStyle name="Normal 4 7 8" xfId="3969"/>
    <cellStyle name="Normal 4 7 8 2" xfId="3970"/>
    <cellStyle name="Normal 4 7 8 2 2" xfId="3971"/>
    <cellStyle name="Normal 4 7 8 2 2 2" xfId="8249"/>
    <cellStyle name="Normal 4 7 8 2 3" xfId="8248"/>
    <cellStyle name="Normal 4 7 8 3" xfId="3972"/>
    <cellStyle name="Normal 4 7 8 3 2" xfId="8250"/>
    <cellStyle name="Normal 4 7 8 4" xfId="8247"/>
    <cellStyle name="Normal 4 7 9" xfId="3973"/>
    <cellStyle name="Normal 4 7 9 2" xfId="3974"/>
    <cellStyle name="Normal 4 7 9 2 2" xfId="8252"/>
    <cellStyle name="Normal 4 7 9 3" xfId="8251"/>
    <cellStyle name="Normal 4 8" xfId="3975"/>
    <cellStyle name="Normal 4 8 2" xfId="3976"/>
    <cellStyle name="Normal 4 8 2 2" xfId="3977"/>
    <cellStyle name="Normal 4 8 2 2 2" xfId="8255"/>
    <cellStyle name="Normal 4 8 2 3" xfId="8254"/>
    <cellStyle name="Normal 4 8 3" xfId="3978"/>
    <cellStyle name="Normal 4 8 3 2" xfId="8256"/>
    <cellStyle name="Normal 4 8 4" xfId="8253"/>
    <cellStyle name="Normal 4 9" xfId="3979"/>
    <cellStyle name="Normal 4 9 2" xfId="3980"/>
    <cellStyle name="Normal 4 9 2 2" xfId="3981"/>
    <cellStyle name="Normal 4 9 2 2 2" xfId="8259"/>
    <cellStyle name="Normal 4 9 2 3" xfId="8258"/>
    <cellStyle name="Normal 4 9 3" xfId="3982"/>
    <cellStyle name="Normal 4 9 3 2" xfId="8260"/>
    <cellStyle name="Normal 4 9 4" xfId="8257"/>
    <cellStyle name="Normal 5" xfId="120"/>
    <cellStyle name="Normal 5 10" xfId="3983"/>
    <cellStyle name="Normal 5 10 2" xfId="3984"/>
    <cellStyle name="Normal 5 10 2 2" xfId="8262"/>
    <cellStyle name="Normal 5 10 3" xfId="8261"/>
    <cellStyle name="Normal 5 11" xfId="3985"/>
    <cellStyle name="Normal 5 11 2" xfId="3986"/>
    <cellStyle name="Normal 5 11 2 2" xfId="8264"/>
    <cellStyle name="Normal 5 11 3" xfId="8263"/>
    <cellStyle name="Normal 5 12" xfId="3987"/>
    <cellStyle name="Normal 5 12 2" xfId="3988"/>
    <cellStyle name="Normal 5 12 2 2" xfId="8266"/>
    <cellStyle name="Normal 5 12 3" xfId="8265"/>
    <cellStyle name="Normal 5 13" xfId="3989"/>
    <cellStyle name="Normal 5 13 2" xfId="3990"/>
    <cellStyle name="Normal 5 13 2 2" xfId="8268"/>
    <cellStyle name="Normal 5 13 3" xfId="8267"/>
    <cellStyle name="Normal 5 14" xfId="3991"/>
    <cellStyle name="Normal 5 14 2" xfId="3992"/>
    <cellStyle name="Normal 5 14 2 2" xfId="8270"/>
    <cellStyle name="Normal 5 14 3" xfId="8269"/>
    <cellStyle name="Normal 5 15" xfId="3993"/>
    <cellStyle name="Normal 5 15 2" xfId="3994"/>
    <cellStyle name="Normal 5 15 2 2" xfId="8272"/>
    <cellStyle name="Normal 5 15 3" xfId="8271"/>
    <cellStyle name="Normal 5 16" xfId="3995"/>
    <cellStyle name="Normal 5 16 2" xfId="3996"/>
    <cellStyle name="Normal 5 16 2 2" xfId="8274"/>
    <cellStyle name="Normal 5 16 3" xfId="8273"/>
    <cellStyle name="Normal 5 17" xfId="3997"/>
    <cellStyle name="Normal 5 17 2" xfId="3998"/>
    <cellStyle name="Normal 5 17 2 2" xfId="8276"/>
    <cellStyle name="Normal 5 17 3" xfId="8275"/>
    <cellStyle name="Normal 5 18" xfId="3999"/>
    <cellStyle name="Normal 5 18 2" xfId="4000"/>
    <cellStyle name="Normal 5 18 2 2" xfId="8278"/>
    <cellStyle name="Normal 5 18 3" xfId="8277"/>
    <cellStyle name="Normal 5 19" xfId="4001"/>
    <cellStyle name="Normal 5 19 2" xfId="8279"/>
    <cellStyle name="Normal 5 2" xfId="4002"/>
    <cellStyle name="Normal 5 2 2" xfId="4003"/>
    <cellStyle name="Normal 5 2 2 2" xfId="4004"/>
    <cellStyle name="Normal 5 2 2 2 2" xfId="8282"/>
    <cellStyle name="Normal 5 2 2 3" xfId="8281"/>
    <cellStyle name="Normal 5 2 3" xfId="4005"/>
    <cellStyle name="Normal 5 2 3 2" xfId="8283"/>
    <cellStyle name="Normal 5 2 4" xfId="8280"/>
    <cellStyle name="Normal 5 20" xfId="4006"/>
    <cellStyle name="Normal 5 20 2" xfId="8284"/>
    <cellStyle name="Normal 5 21" xfId="4431"/>
    <cellStyle name="Normal 5 3" xfId="4007"/>
    <cellStyle name="Normal 5 3 2" xfId="4008"/>
    <cellStyle name="Normal 5 3 2 2" xfId="4009"/>
    <cellStyle name="Normal 5 3 2 2 2" xfId="8287"/>
    <cellStyle name="Normal 5 3 2 3" xfId="8286"/>
    <cellStyle name="Normal 5 3 3" xfId="4010"/>
    <cellStyle name="Normal 5 3 3 2" xfId="8288"/>
    <cellStyle name="Normal 5 3 4" xfId="8285"/>
    <cellStyle name="Normal 5 4" xfId="4011"/>
    <cellStyle name="Normal 5 4 2" xfId="4012"/>
    <cellStyle name="Normal 5 4 2 2" xfId="4013"/>
    <cellStyle name="Normal 5 4 2 2 2" xfId="8291"/>
    <cellStyle name="Normal 5 4 2 3" xfId="8290"/>
    <cellStyle name="Normal 5 4 3" xfId="4014"/>
    <cellStyle name="Normal 5 4 3 2" xfId="8292"/>
    <cellStyle name="Normal 5 4 4" xfId="8289"/>
    <cellStyle name="Normal 5 5" xfId="4015"/>
    <cellStyle name="Normal 5 5 2" xfId="4016"/>
    <cellStyle name="Normal 5 5 2 2" xfId="4017"/>
    <cellStyle name="Normal 5 5 2 2 2" xfId="8295"/>
    <cellStyle name="Normal 5 5 2 3" xfId="8294"/>
    <cellStyle name="Normal 5 5 3" xfId="4018"/>
    <cellStyle name="Normal 5 5 3 2" xfId="8296"/>
    <cellStyle name="Normal 5 5 4" xfId="8293"/>
    <cellStyle name="Normal 5 6" xfId="4019"/>
    <cellStyle name="Normal 5 6 2" xfId="4020"/>
    <cellStyle name="Normal 5 6 2 2" xfId="4021"/>
    <cellStyle name="Normal 5 6 2 2 2" xfId="8299"/>
    <cellStyle name="Normal 5 6 2 3" xfId="8298"/>
    <cellStyle name="Normal 5 6 3" xfId="4022"/>
    <cellStyle name="Normal 5 6 3 2" xfId="8300"/>
    <cellStyle name="Normal 5 6 4" xfId="8297"/>
    <cellStyle name="Normal 5 7" xfId="4023"/>
    <cellStyle name="Normal 5 7 2" xfId="4024"/>
    <cellStyle name="Normal 5 7 2 2" xfId="4025"/>
    <cellStyle name="Normal 5 7 2 2 2" xfId="8303"/>
    <cellStyle name="Normal 5 7 2 3" xfId="8302"/>
    <cellStyle name="Normal 5 7 3" xfId="4026"/>
    <cellStyle name="Normal 5 7 3 2" xfId="8304"/>
    <cellStyle name="Normal 5 7 4" xfId="8301"/>
    <cellStyle name="Normal 5 8" xfId="4027"/>
    <cellStyle name="Normal 5 8 2" xfId="4028"/>
    <cellStyle name="Normal 5 8 2 2" xfId="4029"/>
    <cellStyle name="Normal 5 8 2 2 2" xfId="8307"/>
    <cellStyle name="Normal 5 8 2 3" xfId="8306"/>
    <cellStyle name="Normal 5 8 3" xfId="4030"/>
    <cellStyle name="Normal 5 8 3 2" xfId="8308"/>
    <cellStyle name="Normal 5 8 4" xfId="8305"/>
    <cellStyle name="Normal 5 9" xfId="4031"/>
    <cellStyle name="Normal 5 9 2" xfId="4032"/>
    <cellStyle name="Normal 5 9 2 2" xfId="8310"/>
    <cellStyle name="Normal 5 9 3" xfId="8309"/>
    <cellStyle name="Normal 6" xfId="4033"/>
    <cellStyle name="Normal 6 10" xfId="4034"/>
    <cellStyle name="Normal 6 10 2" xfId="4035"/>
    <cellStyle name="Normal 6 10 2 2" xfId="8313"/>
    <cellStyle name="Normal 6 10 3" xfId="8312"/>
    <cellStyle name="Normal 6 11" xfId="4036"/>
    <cellStyle name="Normal 6 11 2" xfId="4037"/>
    <cellStyle name="Normal 6 11 2 2" xfId="8315"/>
    <cellStyle name="Normal 6 11 3" xfId="8314"/>
    <cellStyle name="Normal 6 12" xfId="4038"/>
    <cellStyle name="Normal 6 12 2" xfId="4039"/>
    <cellStyle name="Normal 6 12 2 2" xfId="8317"/>
    <cellStyle name="Normal 6 12 3" xfId="8316"/>
    <cellStyle name="Normal 6 13" xfId="4040"/>
    <cellStyle name="Normal 6 13 2" xfId="4041"/>
    <cellStyle name="Normal 6 13 2 2" xfId="8319"/>
    <cellStyle name="Normal 6 13 3" xfId="8318"/>
    <cellStyle name="Normal 6 14" xfId="4042"/>
    <cellStyle name="Normal 6 14 2" xfId="4043"/>
    <cellStyle name="Normal 6 14 2 2" xfId="8321"/>
    <cellStyle name="Normal 6 14 3" xfId="8320"/>
    <cellStyle name="Normal 6 15" xfId="4044"/>
    <cellStyle name="Normal 6 15 2" xfId="4045"/>
    <cellStyle name="Normal 6 15 2 2" xfId="8323"/>
    <cellStyle name="Normal 6 15 3" xfId="8322"/>
    <cellStyle name="Normal 6 16" xfId="4046"/>
    <cellStyle name="Normal 6 16 2" xfId="4047"/>
    <cellStyle name="Normal 6 16 2 2" xfId="8325"/>
    <cellStyle name="Normal 6 16 3" xfId="8324"/>
    <cellStyle name="Normal 6 17" xfId="4048"/>
    <cellStyle name="Normal 6 17 2" xfId="4049"/>
    <cellStyle name="Normal 6 17 2 2" xfId="8327"/>
    <cellStyle name="Normal 6 17 3" xfId="8326"/>
    <cellStyle name="Normal 6 18" xfId="4050"/>
    <cellStyle name="Normal 6 18 2" xfId="4051"/>
    <cellStyle name="Normal 6 18 2 2" xfId="8329"/>
    <cellStyle name="Normal 6 18 3" xfId="8328"/>
    <cellStyle name="Normal 6 19" xfId="4052"/>
    <cellStyle name="Normal 6 19 2" xfId="8330"/>
    <cellStyle name="Normal 6 2" xfId="4053"/>
    <cellStyle name="Normal 6 2 2" xfId="4054"/>
    <cellStyle name="Normal 6 2 2 2" xfId="4055"/>
    <cellStyle name="Normal 6 2 2 2 2" xfId="8333"/>
    <cellStyle name="Normal 6 2 2 3" xfId="8332"/>
    <cellStyle name="Normal 6 2 3" xfId="4056"/>
    <cellStyle name="Normal 6 2 3 2" xfId="8334"/>
    <cellStyle name="Normal 6 2 4" xfId="8331"/>
    <cellStyle name="Normal 6 20" xfId="4057"/>
    <cellStyle name="Normal 6 20 2" xfId="8335"/>
    <cellStyle name="Normal 6 21" xfId="8311"/>
    <cellStyle name="Normal 6 3" xfId="4058"/>
    <cellStyle name="Normal 6 3 2" xfId="4059"/>
    <cellStyle name="Normal 6 3 2 2" xfId="4060"/>
    <cellStyle name="Normal 6 3 2 2 2" xfId="8338"/>
    <cellStyle name="Normal 6 3 2 3" xfId="8337"/>
    <cellStyle name="Normal 6 3 3" xfId="4061"/>
    <cellStyle name="Normal 6 3 3 2" xfId="8339"/>
    <cellStyle name="Normal 6 3 4" xfId="8336"/>
    <cellStyle name="Normal 6 4" xfId="4062"/>
    <cellStyle name="Normal 6 4 2" xfId="4063"/>
    <cellStyle name="Normal 6 4 2 2" xfId="4064"/>
    <cellStyle name="Normal 6 4 2 2 2" xfId="8342"/>
    <cellStyle name="Normal 6 4 2 3" xfId="8341"/>
    <cellStyle name="Normal 6 4 3" xfId="4065"/>
    <cellStyle name="Normal 6 4 3 2" xfId="8343"/>
    <cellStyle name="Normal 6 4 4" xfId="8340"/>
    <cellStyle name="Normal 6 5" xfId="4066"/>
    <cellStyle name="Normal 6 5 2" xfId="4067"/>
    <cellStyle name="Normal 6 5 2 2" xfId="4068"/>
    <cellStyle name="Normal 6 5 2 2 2" xfId="8346"/>
    <cellStyle name="Normal 6 5 2 3" xfId="8345"/>
    <cellStyle name="Normal 6 5 3" xfId="4069"/>
    <cellStyle name="Normal 6 5 3 2" xfId="8347"/>
    <cellStyle name="Normal 6 5 4" xfId="8344"/>
    <cellStyle name="Normal 6 6" xfId="4070"/>
    <cellStyle name="Normal 6 6 2" xfId="4071"/>
    <cellStyle name="Normal 6 6 2 2" xfId="4072"/>
    <cellStyle name="Normal 6 6 2 2 2" xfId="8350"/>
    <cellStyle name="Normal 6 6 2 3" xfId="8349"/>
    <cellStyle name="Normal 6 6 3" xfId="4073"/>
    <cellStyle name="Normal 6 6 3 2" xfId="8351"/>
    <cellStyle name="Normal 6 6 4" xfId="8348"/>
    <cellStyle name="Normal 6 7" xfId="4074"/>
    <cellStyle name="Normal 6 7 2" xfId="4075"/>
    <cellStyle name="Normal 6 7 2 2" xfId="4076"/>
    <cellStyle name="Normal 6 7 2 2 2" xfId="8354"/>
    <cellStyle name="Normal 6 7 2 3" xfId="8353"/>
    <cellStyle name="Normal 6 7 3" xfId="4077"/>
    <cellStyle name="Normal 6 7 3 2" xfId="8355"/>
    <cellStyle name="Normal 6 7 4" xfId="8352"/>
    <cellStyle name="Normal 6 8" xfId="4078"/>
    <cellStyle name="Normal 6 8 2" xfId="4079"/>
    <cellStyle name="Normal 6 8 2 2" xfId="4080"/>
    <cellStyle name="Normal 6 8 2 2 2" xfId="8358"/>
    <cellStyle name="Normal 6 8 2 3" xfId="8357"/>
    <cellStyle name="Normal 6 8 3" xfId="4081"/>
    <cellStyle name="Normal 6 8 3 2" xfId="8359"/>
    <cellStyle name="Normal 6 8 4" xfId="8356"/>
    <cellStyle name="Normal 6 9" xfId="4082"/>
    <cellStyle name="Normal 6 9 2" xfId="4083"/>
    <cellStyle name="Normal 6 9 2 2" xfId="8361"/>
    <cellStyle name="Normal 6 9 3" xfId="8360"/>
    <cellStyle name="Normal 7" xfId="4084"/>
    <cellStyle name="Normal 7 10" xfId="4085"/>
    <cellStyle name="Normal 7 10 2" xfId="4086"/>
    <cellStyle name="Normal 7 10 2 2" xfId="8364"/>
    <cellStyle name="Normal 7 10 3" xfId="8363"/>
    <cellStyle name="Normal 7 11" xfId="4087"/>
    <cellStyle name="Normal 7 11 2" xfId="4088"/>
    <cellStyle name="Normal 7 11 2 2" xfId="8366"/>
    <cellStyle name="Normal 7 11 3" xfId="8365"/>
    <cellStyle name="Normal 7 12" xfId="4089"/>
    <cellStyle name="Normal 7 12 2" xfId="4090"/>
    <cellStyle name="Normal 7 12 2 2" xfId="8368"/>
    <cellStyle name="Normal 7 12 3" xfId="8367"/>
    <cellStyle name="Normal 7 13" xfId="4091"/>
    <cellStyle name="Normal 7 13 2" xfId="4092"/>
    <cellStyle name="Normal 7 13 2 2" xfId="8370"/>
    <cellStyle name="Normal 7 13 3" xfId="8369"/>
    <cellStyle name="Normal 7 14" xfId="4093"/>
    <cellStyle name="Normal 7 14 2" xfId="4094"/>
    <cellStyle name="Normal 7 14 2 2" xfId="8372"/>
    <cellStyle name="Normal 7 14 3" xfId="8371"/>
    <cellStyle name="Normal 7 15" xfId="4095"/>
    <cellStyle name="Normal 7 15 2" xfId="4096"/>
    <cellStyle name="Normal 7 15 2 2" xfId="8374"/>
    <cellStyle name="Normal 7 15 3" xfId="8373"/>
    <cellStyle name="Normal 7 16" xfId="4097"/>
    <cellStyle name="Normal 7 16 2" xfId="4098"/>
    <cellStyle name="Normal 7 16 2 2" xfId="8376"/>
    <cellStyle name="Normal 7 16 3" xfId="8375"/>
    <cellStyle name="Normal 7 17" xfId="4099"/>
    <cellStyle name="Normal 7 17 2" xfId="4100"/>
    <cellStyle name="Normal 7 17 2 2" xfId="8378"/>
    <cellStyle name="Normal 7 17 3" xfId="8377"/>
    <cellStyle name="Normal 7 18" xfId="4101"/>
    <cellStyle name="Normal 7 18 2" xfId="4102"/>
    <cellStyle name="Normal 7 18 2 2" xfId="8380"/>
    <cellStyle name="Normal 7 18 3" xfId="8379"/>
    <cellStyle name="Normal 7 19" xfId="4103"/>
    <cellStyle name="Normal 7 19 2" xfId="8381"/>
    <cellStyle name="Normal 7 2" xfId="4104"/>
    <cellStyle name="Normal 7 2 2" xfId="4105"/>
    <cellStyle name="Normal 7 2 2 2" xfId="4106"/>
    <cellStyle name="Normal 7 2 2 2 2" xfId="8384"/>
    <cellStyle name="Normal 7 2 2 3" xfId="8383"/>
    <cellStyle name="Normal 7 2 3" xfId="4107"/>
    <cellStyle name="Normal 7 2 3 2" xfId="8385"/>
    <cellStyle name="Normal 7 2 4" xfId="8382"/>
    <cellStyle name="Normal 7 20" xfId="4108"/>
    <cellStyle name="Normal 7 20 2" xfId="8386"/>
    <cellStyle name="Normal 7 21" xfId="8362"/>
    <cellStyle name="Normal 7 3" xfId="4109"/>
    <cellStyle name="Normal 7 3 2" xfId="4110"/>
    <cellStyle name="Normal 7 3 2 2" xfId="4111"/>
    <cellStyle name="Normal 7 3 2 2 2" xfId="8389"/>
    <cellStyle name="Normal 7 3 2 3" xfId="8388"/>
    <cellStyle name="Normal 7 3 3" xfId="4112"/>
    <cellStyle name="Normal 7 3 3 2" xfId="8390"/>
    <cellStyle name="Normal 7 3 4" xfId="8387"/>
    <cellStyle name="Normal 7 4" xfId="4113"/>
    <cellStyle name="Normal 7 4 2" xfId="4114"/>
    <cellStyle name="Normal 7 4 2 2" xfId="4115"/>
    <cellStyle name="Normal 7 4 2 2 2" xfId="8393"/>
    <cellStyle name="Normal 7 4 2 3" xfId="8392"/>
    <cellStyle name="Normal 7 4 3" xfId="4116"/>
    <cellStyle name="Normal 7 4 3 2" xfId="8394"/>
    <cellStyle name="Normal 7 4 4" xfId="8391"/>
    <cellStyle name="Normal 7 5" xfId="4117"/>
    <cellStyle name="Normal 7 5 2" xfId="4118"/>
    <cellStyle name="Normal 7 5 2 2" xfId="4119"/>
    <cellStyle name="Normal 7 5 2 2 2" xfId="8397"/>
    <cellStyle name="Normal 7 5 2 3" xfId="8396"/>
    <cellStyle name="Normal 7 5 3" xfId="4120"/>
    <cellStyle name="Normal 7 5 3 2" xfId="8398"/>
    <cellStyle name="Normal 7 5 4" xfId="8395"/>
    <cellStyle name="Normal 7 6" xfId="4121"/>
    <cellStyle name="Normal 7 6 2" xfId="4122"/>
    <cellStyle name="Normal 7 6 2 2" xfId="4123"/>
    <cellStyle name="Normal 7 6 2 2 2" xfId="8401"/>
    <cellStyle name="Normal 7 6 2 3" xfId="8400"/>
    <cellStyle name="Normal 7 6 3" xfId="4124"/>
    <cellStyle name="Normal 7 6 3 2" xfId="8402"/>
    <cellStyle name="Normal 7 6 4" xfId="8399"/>
    <cellStyle name="Normal 7 7" xfId="4125"/>
    <cellStyle name="Normal 7 7 2" xfId="4126"/>
    <cellStyle name="Normal 7 7 2 2" xfId="4127"/>
    <cellStyle name="Normal 7 7 2 2 2" xfId="8405"/>
    <cellStyle name="Normal 7 7 2 3" xfId="8404"/>
    <cellStyle name="Normal 7 7 3" xfId="4128"/>
    <cellStyle name="Normal 7 7 3 2" xfId="8406"/>
    <cellStyle name="Normal 7 7 4" xfId="8403"/>
    <cellStyle name="Normal 7 8" xfId="4129"/>
    <cellStyle name="Normal 7 8 2" xfId="4130"/>
    <cellStyle name="Normal 7 8 2 2" xfId="4131"/>
    <cellStyle name="Normal 7 8 2 2 2" xfId="8409"/>
    <cellStyle name="Normal 7 8 2 3" xfId="8408"/>
    <cellStyle name="Normal 7 8 3" xfId="4132"/>
    <cellStyle name="Normal 7 8 3 2" xfId="8410"/>
    <cellStyle name="Normal 7 8 4" xfId="8407"/>
    <cellStyle name="Normal 7 9" xfId="4133"/>
    <cellStyle name="Normal 7 9 2" xfId="4134"/>
    <cellStyle name="Normal 7 9 2 2" xfId="8412"/>
    <cellStyle name="Normal 7 9 3" xfId="8411"/>
    <cellStyle name="Normal 8" xfId="4135"/>
    <cellStyle name="Normal 8 10" xfId="4136"/>
    <cellStyle name="Normal 8 10 2" xfId="4137"/>
    <cellStyle name="Normal 8 10 2 2" xfId="8415"/>
    <cellStyle name="Normal 8 10 3" xfId="8414"/>
    <cellStyle name="Normal 8 11" xfId="4138"/>
    <cellStyle name="Normal 8 11 2" xfId="4139"/>
    <cellStyle name="Normal 8 11 2 2" xfId="8417"/>
    <cellStyle name="Normal 8 11 3" xfId="8416"/>
    <cellStyle name="Normal 8 12" xfId="4140"/>
    <cellStyle name="Normal 8 12 2" xfId="4141"/>
    <cellStyle name="Normal 8 12 2 2" xfId="8419"/>
    <cellStyle name="Normal 8 12 3" xfId="8418"/>
    <cellStyle name="Normal 8 13" xfId="4142"/>
    <cellStyle name="Normal 8 13 2" xfId="4143"/>
    <cellStyle name="Normal 8 13 2 2" xfId="8421"/>
    <cellStyle name="Normal 8 13 3" xfId="8420"/>
    <cellStyle name="Normal 8 14" xfId="4144"/>
    <cellStyle name="Normal 8 14 2" xfId="4145"/>
    <cellStyle name="Normal 8 14 2 2" xfId="8423"/>
    <cellStyle name="Normal 8 14 3" xfId="8422"/>
    <cellStyle name="Normal 8 15" xfId="4146"/>
    <cellStyle name="Normal 8 15 2" xfId="4147"/>
    <cellStyle name="Normal 8 15 2 2" xfId="8425"/>
    <cellStyle name="Normal 8 15 3" xfId="8424"/>
    <cellStyle name="Normal 8 16" xfId="4148"/>
    <cellStyle name="Normal 8 16 2" xfId="4149"/>
    <cellStyle name="Normal 8 16 2 2" xfId="8427"/>
    <cellStyle name="Normal 8 16 3" xfId="8426"/>
    <cellStyle name="Normal 8 17" xfId="4150"/>
    <cellStyle name="Normal 8 17 2" xfId="4151"/>
    <cellStyle name="Normal 8 17 2 2" xfId="8429"/>
    <cellStyle name="Normal 8 17 3" xfId="8428"/>
    <cellStyle name="Normal 8 18" xfId="4152"/>
    <cellStyle name="Normal 8 18 2" xfId="4153"/>
    <cellStyle name="Normal 8 18 2 2" xfId="8431"/>
    <cellStyle name="Normal 8 18 3" xfId="8430"/>
    <cellStyle name="Normal 8 19" xfId="4154"/>
    <cellStyle name="Normal 8 19 2" xfId="8432"/>
    <cellStyle name="Normal 8 2" xfId="4155"/>
    <cellStyle name="Normal 8 2 2" xfId="4156"/>
    <cellStyle name="Normal 8 2 2 2" xfId="4157"/>
    <cellStyle name="Normal 8 2 2 2 2" xfId="8435"/>
    <cellStyle name="Normal 8 2 2 3" xfId="8434"/>
    <cellStyle name="Normal 8 2 3" xfId="4158"/>
    <cellStyle name="Normal 8 2 3 2" xfId="8436"/>
    <cellStyle name="Normal 8 2 4" xfId="8433"/>
    <cellStyle name="Normal 8 20" xfId="4159"/>
    <cellStyle name="Normal 8 20 2" xfId="8437"/>
    <cellStyle name="Normal 8 21" xfId="8413"/>
    <cellStyle name="Normal 8 3" xfId="4160"/>
    <cellStyle name="Normal 8 3 2" xfId="4161"/>
    <cellStyle name="Normal 8 3 2 2" xfId="4162"/>
    <cellStyle name="Normal 8 3 2 2 2" xfId="8440"/>
    <cellStyle name="Normal 8 3 2 3" xfId="8439"/>
    <cellStyle name="Normal 8 3 3" xfId="4163"/>
    <cellStyle name="Normal 8 3 3 2" xfId="8441"/>
    <cellStyle name="Normal 8 3 4" xfId="8438"/>
    <cellStyle name="Normal 8 4" xfId="4164"/>
    <cellStyle name="Normal 8 4 2" xfId="4165"/>
    <cellStyle name="Normal 8 4 2 2" xfId="4166"/>
    <cellStyle name="Normal 8 4 2 2 2" xfId="8444"/>
    <cellStyle name="Normal 8 4 2 3" xfId="8443"/>
    <cellStyle name="Normal 8 4 3" xfId="4167"/>
    <cellStyle name="Normal 8 4 3 2" xfId="8445"/>
    <cellStyle name="Normal 8 4 4" xfId="8442"/>
    <cellStyle name="Normal 8 5" xfId="4168"/>
    <cellStyle name="Normal 8 5 2" xfId="4169"/>
    <cellStyle name="Normal 8 5 2 2" xfId="4170"/>
    <cellStyle name="Normal 8 5 2 2 2" xfId="8448"/>
    <cellStyle name="Normal 8 5 2 3" xfId="8447"/>
    <cellStyle name="Normal 8 5 3" xfId="4171"/>
    <cellStyle name="Normal 8 5 3 2" xfId="8449"/>
    <cellStyle name="Normal 8 5 4" xfId="8446"/>
    <cellStyle name="Normal 8 6" xfId="4172"/>
    <cellStyle name="Normal 8 6 2" xfId="4173"/>
    <cellStyle name="Normal 8 6 2 2" xfId="4174"/>
    <cellStyle name="Normal 8 6 2 2 2" xfId="8452"/>
    <cellStyle name="Normal 8 6 2 3" xfId="8451"/>
    <cellStyle name="Normal 8 6 3" xfId="4175"/>
    <cellStyle name="Normal 8 6 3 2" xfId="8453"/>
    <cellStyle name="Normal 8 6 4" xfId="8450"/>
    <cellStyle name="Normal 8 7" xfId="4176"/>
    <cellStyle name="Normal 8 7 2" xfId="4177"/>
    <cellStyle name="Normal 8 7 2 2" xfId="4178"/>
    <cellStyle name="Normal 8 7 2 2 2" xfId="8456"/>
    <cellStyle name="Normal 8 7 2 3" xfId="8455"/>
    <cellStyle name="Normal 8 7 3" xfId="4179"/>
    <cellStyle name="Normal 8 7 3 2" xfId="8457"/>
    <cellStyle name="Normal 8 7 4" xfId="8454"/>
    <cellStyle name="Normal 8 8" xfId="4180"/>
    <cellStyle name="Normal 8 8 2" xfId="4181"/>
    <cellStyle name="Normal 8 8 2 2" xfId="4182"/>
    <cellStyle name="Normal 8 8 2 2 2" xfId="8460"/>
    <cellStyle name="Normal 8 8 2 3" xfId="8459"/>
    <cellStyle name="Normal 8 8 3" xfId="4183"/>
    <cellStyle name="Normal 8 8 3 2" xfId="8461"/>
    <cellStyle name="Normal 8 8 4" xfId="8458"/>
    <cellStyle name="Normal 8 9" xfId="4184"/>
    <cellStyle name="Normal 8 9 2" xfId="4185"/>
    <cellStyle name="Normal 8 9 2 2" xfId="8463"/>
    <cellStyle name="Normal 8 9 3" xfId="8462"/>
    <cellStyle name="Normal 9" xfId="4186"/>
    <cellStyle name="Normal 9 10" xfId="4187"/>
    <cellStyle name="Normal 9 10 2" xfId="4188"/>
    <cellStyle name="Normal 9 10 2 2" xfId="8466"/>
    <cellStyle name="Normal 9 10 3" xfId="8465"/>
    <cellStyle name="Normal 9 11" xfId="4189"/>
    <cellStyle name="Normal 9 11 2" xfId="4190"/>
    <cellStyle name="Normal 9 11 2 2" xfId="8468"/>
    <cellStyle name="Normal 9 11 3" xfId="8467"/>
    <cellStyle name="Normal 9 12" xfId="4191"/>
    <cellStyle name="Normal 9 12 2" xfId="4192"/>
    <cellStyle name="Normal 9 12 2 2" xfId="8470"/>
    <cellStyle name="Normal 9 12 3" xfId="8469"/>
    <cellStyle name="Normal 9 13" xfId="4193"/>
    <cellStyle name="Normal 9 13 2" xfId="4194"/>
    <cellStyle name="Normal 9 13 2 2" xfId="8472"/>
    <cellStyle name="Normal 9 13 3" xfId="8471"/>
    <cellStyle name="Normal 9 14" xfId="4195"/>
    <cellStyle name="Normal 9 14 2" xfId="4196"/>
    <cellStyle name="Normal 9 14 2 2" xfId="8474"/>
    <cellStyle name="Normal 9 14 3" xfId="8473"/>
    <cellStyle name="Normal 9 15" xfId="4197"/>
    <cellStyle name="Normal 9 15 2" xfId="4198"/>
    <cellStyle name="Normal 9 15 2 2" xfId="8476"/>
    <cellStyle name="Normal 9 15 3" xfId="8475"/>
    <cellStyle name="Normal 9 16" xfId="4199"/>
    <cellStyle name="Normal 9 16 2" xfId="4200"/>
    <cellStyle name="Normal 9 16 2 2" xfId="8478"/>
    <cellStyle name="Normal 9 16 3" xfId="8477"/>
    <cellStyle name="Normal 9 17" xfId="4201"/>
    <cellStyle name="Normal 9 17 2" xfId="4202"/>
    <cellStyle name="Normal 9 17 2 2" xfId="8480"/>
    <cellStyle name="Normal 9 17 3" xfId="8479"/>
    <cellStyle name="Normal 9 18" xfId="4203"/>
    <cellStyle name="Normal 9 18 2" xfId="4204"/>
    <cellStyle name="Normal 9 18 2 2" xfId="8482"/>
    <cellStyle name="Normal 9 18 3" xfId="8481"/>
    <cellStyle name="Normal 9 19" xfId="4205"/>
    <cellStyle name="Normal 9 19 2" xfId="8483"/>
    <cellStyle name="Normal 9 2" xfId="4206"/>
    <cellStyle name="Normal 9 2 2" xfId="4207"/>
    <cellStyle name="Normal 9 2 2 2" xfId="4208"/>
    <cellStyle name="Normal 9 2 2 2 2" xfId="8486"/>
    <cellStyle name="Normal 9 2 2 3" xfId="8485"/>
    <cellStyle name="Normal 9 2 3" xfId="4209"/>
    <cellStyle name="Normal 9 2 3 2" xfId="8487"/>
    <cellStyle name="Normal 9 2 4" xfId="8484"/>
    <cellStyle name="Normal 9 20" xfId="4210"/>
    <cellStyle name="Normal 9 20 2" xfId="8488"/>
    <cellStyle name="Normal 9 21" xfId="8464"/>
    <cellStyle name="Normal 9 3" xfId="4211"/>
    <cellStyle name="Normal 9 3 2" xfId="4212"/>
    <cellStyle name="Normal 9 3 2 2" xfId="4213"/>
    <cellStyle name="Normal 9 3 2 2 2" xfId="8491"/>
    <cellStyle name="Normal 9 3 2 3" xfId="8490"/>
    <cellStyle name="Normal 9 3 3" xfId="4214"/>
    <cellStyle name="Normal 9 3 3 2" xfId="8492"/>
    <cellStyle name="Normal 9 3 4" xfId="8489"/>
    <cellStyle name="Normal 9 4" xfId="4215"/>
    <cellStyle name="Normal 9 4 2" xfId="4216"/>
    <cellStyle name="Normal 9 4 2 2" xfId="4217"/>
    <cellStyle name="Normal 9 4 2 2 2" xfId="8495"/>
    <cellStyle name="Normal 9 4 2 3" xfId="8494"/>
    <cellStyle name="Normal 9 4 3" xfId="4218"/>
    <cellStyle name="Normal 9 4 3 2" xfId="8496"/>
    <cellStyle name="Normal 9 4 4" xfId="8493"/>
    <cellStyle name="Normal 9 5" xfId="4219"/>
    <cellStyle name="Normal 9 5 2" xfId="4220"/>
    <cellStyle name="Normal 9 5 2 2" xfId="4221"/>
    <cellStyle name="Normal 9 5 2 2 2" xfId="8499"/>
    <cellStyle name="Normal 9 5 2 3" xfId="8498"/>
    <cellStyle name="Normal 9 5 3" xfId="4222"/>
    <cellStyle name="Normal 9 5 3 2" xfId="8500"/>
    <cellStyle name="Normal 9 5 4" xfId="8497"/>
    <cellStyle name="Normal 9 6" xfId="4223"/>
    <cellStyle name="Normal 9 6 2" xfId="4224"/>
    <cellStyle name="Normal 9 6 2 2" xfId="4225"/>
    <cellStyle name="Normal 9 6 2 2 2" xfId="8503"/>
    <cellStyle name="Normal 9 6 2 3" xfId="8502"/>
    <cellStyle name="Normal 9 6 3" xfId="4226"/>
    <cellStyle name="Normal 9 6 3 2" xfId="8504"/>
    <cellStyle name="Normal 9 6 4" xfId="8501"/>
    <cellStyle name="Normal 9 7" xfId="4227"/>
    <cellStyle name="Normal 9 7 2" xfId="4228"/>
    <cellStyle name="Normal 9 7 2 2" xfId="4229"/>
    <cellStyle name="Normal 9 7 2 2 2" xfId="8507"/>
    <cellStyle name="Normal 9 7 2 3" xfId="8506"/>
    <cellStyle name="Normal 9 7 3" xfId="4230"/>
    <cellStyle name="Normal 9 7 3 2" xfId="8508"/>
    <cellStyle name="Normal 9 7 4" xfId="8505"/>
    <cellStyle name="Normal 9 8" xfId="4231"/>
    <cellStyle name="Normal 9 8 2" xfId="4232"/>
    <cellStyle name="Normal 9 8 2 2" xfId="4233"/>
    <cellStyle name="Normal 9 8 2 2 2" xfId="8511"/>
    <cellStyle name="Normal 9 8 2 3" xfId="8510"/>
    <cellStyle name="Normal 9 8 3" xfId="4234"/>
    <cellStyle name="Normal 9 8 3 2" xfId="8512"/>
    <cellStyle name="Normal 9 8 4" xfId="8509"/>
    <cellStyle name="Normal 9 9" xfId="4235"/>
    <cellStyle name="Normal 9 9 2" xfId="4236"/>
    <cellStyle name="Normal 9 9 2 2" xfId="8514"/>
    <cellStyle name="Normal 9 9 3" xfId="8513"/>
    <cellStyle name="Normal_Hitters" xfId="106"/>
    <cellStyle name="Normal_Pitchers" xfId="107"/>
    <cellStyle name="Note" xfId="108" builtinId="10" customBuiltin="1"/>
    <cellStyle name="Note 2" xfId="109"/>
    <cellStyle name="Note 2 2" xfId="110"/>
    <cellStyle name="Note 2 2 2" xfId="4237"/>
    <cellStyle name="Note 3" xfId="111"/>
    <cellStyle name="Note 3 2" xfId="4238"/>
    <cellStyle name="Note 4" xfId="4239"/>
    <cellStyle name="Note 4 10" xfId="4240"/>
    <cellStyle name="Note 4 10 2" xfId="4241"/>
    <cellStyle name="Note 4 10 2 2" xfId="8517"/>
    <cellStyle name="Note 4 10 3" xfId="8516"/>
    <cellStyle name="Note 4 11" xfId="4242"/>
    <cellStyle name="Note 4 11 2" xfId="4243"/>
    <cellStyle name="Note 4 11 2 2" xfId="8519"/>
    <cellStyle name="Note 4 11 3" xfId="8518"/>
    <cellStyle name="Note 4 12" xfId="4244"/>
    <cellStyle name="Note 4 12 2" xfId="4245"/>
    <cellStyle name="Note 4 12 2 2" xfId="8521"/>
    <cellStyle name="Note 4 12 3" xfId="8520"/>
    <cellStyle name="Note 4 13" xfId="4246"/>
    <cellStyle name="Note 4 13 2" xfId="4247"/>
    <cellStyle name="Note 4 13 2 2" xfId="8523"/>
    <cellStyle name="Note 4 13 3" xfId="8522"/>
    <cellStyle name="Note 4 14" xfId="4248"/>
    <cellStyle name="Note 4 14 2" xfId="4249"/>
    <cellStyle name="Note 4 14 2 2" xfId="8525"/>
    <cellStyle name="Note 4 14 3" xfId="8524"/>
    <cellStyle name="Note 4 15" xfId="4250"/>
    <cellStyle name="Note 4 15 2" xfId="4251"/>
    <cellStyle name="Note 4 15 2 2" xfId="8527"/>
    <cellStyle name="Note 4 15 3" xfId="8526"/>
    <cellStyle name="Note 4 16" xfId="4252"/>
    <cellStyle name="Note 4 16 2" xfId="8528"/>
    <cellStyle name="Note 4 17" xfId="8515"/>
    <cellStyle name="Note 4 2" xfId="4253"/>
    <cellStyle name="Note 4 2 2" xfId="4254"/>
    <cellStyle name="Note 4 2 2 2" xfId="4255"/>
    <cellStyle name="Note 4 2 2 2 2" xfId="8531"/>
    <cellStyle name="Note 4 2 2 3" xfId="8530"/>
    <cellStyle name="Note 4 2 3" xfId="4256"/>
    <cellStyle name="Note 4 2 3 2" xfId="8532"/>
    <cellStyle name="Note 4 2 4" xfId="8529"/>
    <cellStyle name="Note 4 3" xfId="4257"/>
    <cellStyle name="Note 4 4" xfId="4258"/>
    <cellStyle name="Note 4 4 2" xfId="4259"/>
    <cellStyle name="Note 4 4 2 2" xfId="4260"/>
    <cellStyle name="Note 4 4 2 2 2" xfId="8535"/>
    <cellStyle name="Note 4 4 2 3" xfId="8534"/>
    <cellStyle name="Note 4 4 3" xfId="4261"/>
    <cellStyle name="Note 4 4 3 2" xfId="8536"/>
    <cellStyle name="Note 4 4 4" xfId="8533"/>
    <cellStyle name="Note 4 5" xfId="4262"/>
    <cellStyle name="Note 4 5 2" xfId="4263"/>
    <cellStyle name="Note 4 5 2 2" xfId="4264"/>
    <cellStyle name="Note 4 5 2 2 2" xfId="8539"/>
    <cellStyle name="Note 4 5 2 3" xfId="8538"/>
    <cellStyle name="Note 4 5 3" xfId="4265"/>
    <cellStyle name="Note 4 5 3 2" xfId="8540"/>
    <cellStyle name="Note 4 5 4" xfId="8537"/>
    <cellStyle name="Note 4 6" xfId="4266"/>
    <cellStyle name="Note 4 6 2" xfId="4267"/>
    <cellStyle name="Note 4 6 2 2" xfId="4268"/>
    <cellStyle name="Note 4 6 2 2 2" xfId="8543"/>
    <cellStyle name="Note 4 6 2 3" xfId="8542"/>
    <cellStyle name="Note 4 6 3" xfId="4269"/>
    <cellStyle name="Note 4 6 3 2" xfId="8544"/>
    <cellStyle name="Note 4 6 4" xfId="8541"/>
    <cellStyle name="Note 4 7" xfId="4270"/>
    <cellStyle name="Note 4 7 2" xfId="4271"/>
    <cellStyle name="Note 4 7 2 2" xfId="8546"/>
    <cellStyle name="Note 4 7 3" xfId="8545"/>
    <cellStyle name="Note 4 8" xfId="4272"/>
    <cellStyle name="Note 4 8 2" xfId="4273"/>
    <cellStyle name="Note 4 8 2 2" xfId="8548"/>
    <cellStyle name="Note 4 8 3" xfId="8547"/>
    <cellStyle name="Note 4 9" xfId="4274"/>
    <cellStyle name="Note 4 9 2" xfId="4275"/>
    <cellStyle name="Note 4 9 2 2" xfId="8550"/>
    <cellStyle name="Note 4 9 3" xfId="8549"/>
    <cellStyle name="Note 5" xfId="4276"/>
    <cellStyle name="Note 5 10" xfId="4277"/>
    <cellStyle name="Note 5 10 2" xfId="4278"/>
    <cellStyle name="Note 5 10 2 2" xfId="8553"/>
    <cellStyle name="Note 5 10 3" xfId="8552"/>
    <cellStyle name="Note 5 11" xfId="4279"/>
    <cellStyle name="Note 5 11 2" xfId="4280"/>
    <cellStyle name="Note 5 11 2 2" xfId="8555"/>
    <cellStyle name="Note 5 11 3" xfId="8554"/>
    <cellStyle name="Note 5 12" xfId="4281"/>
    <cellStyle name="Note 5 12 2" xfId="4282"/>
    <cellStyle name="Note 5 12 2 2" xfId="8557"/>
    <cellStyle name="Note 5 12 3" xfId="8556"/>
    <cellStyle name="Note 5 13" xfId="4283"/>
    <cellStyle name="Note 5 13 2" xfId="4284"/>
    <cellStyle name="Note 5 13 2 2" xfId="8559"/>
    <cellStyle name="Note 5 13 3" xfId="8558"/>
    <cellStyle name="Note 5 14" xfId="4285"/>
    <cellStyle name="Note 5 14 2" xfId="4286"/>
    <cellStyle name="Note 5 14 2 2" xfId="8561"/>
    <cellStyle name="Note 5 14 3" xfId="8560"/>
    <cellStyle name="Note 5 15" xfId="4287"/>
    <cellStyle name="Note 5 15 2" xfId="4288"/>
    <cellStyle name="Note 5 15 2 2" xfId="8563"/>
    <cellStyle name="Note 5 15 3" xfId="8562"/>
    <cellStyle name="Note 5 16" xfId="4289"/>
    <cellStyle name="Note 5 16 2" xfId="8564"/>
    <cellStyle name="Note 5 17" xfId="8551"/>
    <cellStyle name="Note 5 2" xfId="4290"/>
    <cellStyle name="Note 5 2 2" xfId="4291"/>
    <cellStyle name="Note 5 2 2 2" xfId="4292"/>
    <cellStyle name="Note 5 2 2 2 2" xfId="8567"/>
    <cellStyle name="Note 5 2 2 3" xfId="8566"/>
    <cellStyle name="Note 5 2 3" xfId="4293"/>
    <cellStyle name="Note 5 2 3 2" xfId="8568"/>
    <cellStyle name="Note 5 2 4" xfId="8565"/>
    <cellStyle name="Note 5 3" xfId="4294"/>
    <cellStyle name="Note 5 4" xfId="4295"/>
    <cellStyle name="Note 5 4 2" xfId="4296"/>
    <cellStyle name="Note 5 4 2 2" xfId="4297"/>
    <cellStyle name="Note 5 4 2 2 2" xfId="8571"/>
    <cellStyle name="Note 5 4 2 3" xfId="8570"/>
    <cellStyle name="Note 5 4 3" xfId="4298"/>
    <cellStyle name="Note 5 4 3 2" xfId="8572"/>
    <cellStyle name="Note 5 4 4" xfId="8569"/>
    <cellStyle name="Note 5 5" xfId="4299"/>
    <cellStyle name="Note 5 5 2" xfId="4300"/>
    <cellStyle name="Note 5 5 2 2" xfId="4301"/>
    <cellStyle name="Note 5 5 2 2 2" xfId="8575"/>
    <cellStyle name="Note 5 5 2 3" xfId="8574"/>
    <cellStyle name="Note 5 5 3" xfId="4302"/>
    <cellStyle name="Note 5 5 3 2" xfId="8576"/>
    <cellStyle name="Note 5 5 4" xfId="8573"/>
    <cellStyle name="Note 5 6" xfId="4303"/>
    <cellStyle name="Note 5 6 2" xfId="4304"/>
    <cellStyle name="Note 5 6 2 2" xfId="4305"/>
    <cellStyle name="Note 5 6 2 2 2" xfId="8579"/>
    <cellStyle name="Note 5 6 2 3" xfId="8578"/>
    <cellStyle name="Note 5 6 3" xfId="4306"/>
    <cellStyle name="Note 5 6 3 2" xfId="8580"/>
    <cellStyle name="Note 5 6 4" xfId="8577"/>
    <cellStyle name="Note 5 7" xfId="4307"/>
    <cellStyle name="Note 5 7 2" xfId="4308"/>
    <cellStyle name="Note 5 7 2 2" xfId="8582"/>
    <cellStyle name="Note 5 7 3" xfId="8581"/>
    <cellStyle name="Note 5 8" xfId="4309"/>
    <cellStyle name="Note 5 8 2" xfId="4310"/>
    <cellStyle name="Note 5 8 2 2" xfId="8584"/>
    <cellStyle name="Note 5 8 3" xfId="8583"/>
    <cellStyle name="Note 5 9" xfId="4311"/>
    <cellStyle name="Note 5 9 2" xfId="4312"/>
    <cellStyle name="Note 5 9 2 2" xfId="8586"/>
    <cellStyle name="Note 5 9 3" xfId="8585"/>
    <cellStyle name="Note 6" xfId="4313"/>
    <cellStyle name="Note 6 10" xfId="4314"/>
    <cellStyle name="Note 6 10 2" xfId="4315"/>
    <cellStyle name="Note 6 10 2 2" xfId="8589"/>
    <cellStyle name="Note 6 10 3" xfId="8588"/>
    <cellStyle name="Note 6 11" xfId="4316"/>
    <cellStyle name="Note 6 11 2" xfId="4317"/>
    <cellStyle name="Note 6 11 2 2" xfId="8591"/>
    <cellStyle name="Note 6 11 3" xfId="8590"/>
    <cellStyle name="Note 6 12" xfId="4318"/>
    <cellStyle name="Note 6 12 2" xfId="4319"/>
    <cellStyle name="Note 6 12 2 2" xfId="8593"/>
    <cellStyle name="Note 6 12 3" xfId="8592"/>
    <cellStyle name="Note 6 13" xfId="4320"/>
    <cellStyle name="Note 6 13 2" xfId="4321"/>
    <cellStyle name="Note 6 13 2 2" xfId="8595"/>
    <cellStyle name="Note 6 13 3" xfId="8594"/>
    <cellStyle name="Note 6 14" xfId="4322"/>
    <cellStyle name="Note 6 14 2" xfId="4323"/>
    <cellStyle name="Note 6 14 2 2" xfId="8597"/>
    <cellStyle name="Note 6 14 3" xfId="8596"/>
    <cellStyle name="Note 6 15" xfId="4324"/>
    <cellStyle name="Note 6 15 2" xfId="4325"/>
    <cellStyle name="Note 6 15 2 2" xfId="8599"/>
    <cellStyle name="Note 6 15 3" xfId="8598"/>
    <cellStyle name="Note 6 16" xfId="4326"/>
    <cellStyle name="Note 6 16 2" xfId="8600"/>
    <cellStyle name="Note 6 17" xfId="8587"/>
    <cellStyle name="Note 6 2" xfId="4327"/>
    <cellStyle name="Note 6 2 2" xfId="4328"/>
    <cellStyle name="Note 6 2 2 2" xfId="4329"/>
    <cellStyle name="Note 6 2 2 2 2" xfId="8603"/>
    <cellStyle name="Note 6 2 2 3" xfId="8602"/>
    <cellStyle name="Note 6 2 3" xfId="4330"/>
    <cellStyle name="Note 6 2 3 2" xfId="8604"/>
    <cellStyle name="Note 6 2 4" xfId="8601"/>
    <cellStyle name="Note 6 3" xfId="4331"/>
    <cellStyle name="Note 6 4" xfId="4332"/>
    <cellStyle name="Note 6 4 2" xfId="4333"/>
    <cellStyle name="Note 6 4 2 2" xfId="4334"/>
    <cellStyle name="Note 6 4 2 2 2" xfId="8607"/>
    <cellStyle name="Note 6 4 2 3" xfId="8606"/>
    <cellStyle name="Note 6 4 3" xfId="4335"/>
    <cellStyle name="Note 6 4 3 2" xfId="8608"/>
    <cellStyle name="Note 6 4 4" xfId="8605"/>
    <cellStyle name="Note 6 5" xfId="4336"/>
    <cellStyle name="Note 6 5 2" xfId="4337"/>
    <cellStyle name="Note 6 5 2 2" xfId="4338"/>
    <cellStyle name="Note 6 5 2 2 2" xfId="8611"/>
    <cellStyle name="Note 6 5 2 3" xfId="8610"/>
    <cellStyle name="Note 6 5 3" xfId="4339"/>
    <cellStyle name="Note 6 5 3 2" xfId="8612"/>
    <cellStyle name="Note 6 5 4" xfId="8609"/>
    <cellStyle name="Note 6 6" xfId="4340"/>
    <cellStyle name="Note 6 6 2" xfId="4341"/>
    <cellStyle name="Note 6 6 2 2" xfId="4342"/>
    <cellStyle name="Note 6 6 2 2 2" xfId="8615"/>
    <cellStyle name="Note 6 6 2 3" xfId="8614"/>
    <cellStyle name="Note 6 6 3" xfId="4343"/>
    <cellStyle name="Note 6 6 3 2" xfId="8616"/>
    <cellStyle name="Note 6 6 4" xfId="8613"/>
    <cellStyle name="Note 6 7" xfId="4344"/>
    <cellStyle name="Note 6 7 2" xfId="4345"/>
    <cellStyle name="Note 6 7 2 2" xfId="8618"/>
    <cellStyle name="Note 6 7 3" xfId="8617"/>
    <cellStyle name="Note 6 8" xfId="4346"/>
    <cellStyle name="Note 6 8 2" xfId="4347"/>
    <cellStyle name="Note 6 8 2 2" xfId="8620"/>
    <cellStyle name="Note 6 8 3" xfId="8619"/>
    <cellStyle name="Note 6 9" xfId="4348"/>
    <cellStyle name="Note 6 9 2" xfId="4349"/>
    <cellStyle name="Note 6 9 2 2" xfId="8622"/>
    <cellStyle name="Note 6 9 3" xfId="8621"/>
    <cellStyle name="Note 7" xfId="4350"/>
    <cellStyle name="Note 7 10" xfId="4351"/>
    <cellStyle name="Note 7 10 2" xfId="4352"/>
    <cellStyle name="Note 7 10 2 2" xfId="8625"/>
    <cellStyle name="Note 7 10 3" xfId="8624"/>
    <cellStyle name="Note 7 11" xfId="4353"/>
    <cellStyle name="Note 7 11 2" xfId="4354"/>
    <cellStyle name="Note 7 11 2 2" xfId="8627"/>
    <cellStyle name="Note 7 11 3" xfId="8626"/>
    <cellStyle name="Note 7 12" xfId="4355"/>
    <cellStyle name="Note 7 12 2" xfId="4356"/>
    <cellStyle name="Note 7 12 2 2" xfId="8629"/>
    <cellStyle name="Note 7 12 3" xfId="8628"/>
    <cellStyle name="Note 7 13" xfId="4357"/>
    <cellStyle name="Note 7 13 2" xfId="4358"/>
    <cellStyle name="Note 7 13 2 2" xfId="8631"/>
    <cellStyle name="Note 7 13 3" xfId="8630"/>
    <cellStyle name="Note 7 14" xfId="4359"/>
    <cellStyle name="Note 7 14 2" xfId="4360"/>
    <cellStyle name="Note 7 14 2 2" xfId="8633"/>
    <cellStyle name="Note 7 14 3" xfId="8632"/>
    <cellStyle name="Note 7 15" xfId="4361"/>
    <cellStyle name="Note 7 15 2" xfId="4362"/>
    <cellStyle name="Note 7 15 2 2" xfId="8635"/>
    <cellStyle name="Note 7 15 3" xfId="8634"/>
    <cellStyle name="Note 7 16" xfId="4363"/>
    <cellStyle name="Note 7 16 2" xfId="8636"/>
    <cellStyle name="Note 7 17" xfId="8623"/>
    <cellStyle name="Note 7 2" xfId="4364"/>
    <cellStyle name="Note 7 2 2" xfId="4365"/>
    <cellStyle name="Note 7 2 2 2" xfId="4366"/>
    <cellStyle name="Note 7 2 2 2 2" xfId="8639"/>
    <cellStyle name="Note 7 2 2 3" xfId="8638"/>
    <cellStyle name="Note 7 2 3" xfId="4367"/>
    <cellStyle name="Note 7 2 3 2" xfId="8640"/>
    <cellStyle name="Note 7 2 4" xfId="8637"/>
    <cellStyle name="Note 7 3" xfId="4368"/>
    <cellStyle name="Note 7 4" xfId="4369"/>
    <cellStyle name="Note 7 4 2" xfId="4370"/>
    <cellStyle name="Note 7 4 2 2" xfId="4371"/>
    <cellStyle name="Note 7 4 2 2 2" xfId="8643"/>
    <cellStyle name="Note 7 4 2 3" xfId="8642"/>
    <cellStyle name="Note 7 4 3" xfId="4372"/>
    <cellStyle name="Note 7 4 3 2" xfId="8644"/>
    <cellStyle name="Note 7 4 4" xfId="8641"/>
    <cellStyle name="Note 7 5" xfId="4373"/>
    <cellStyle name="Note 7 5 2" xfId="4374"/>
    <cellStyle name="Note 7 5 2 2" xfId="4375"/>
    <cellStyle name="Note 7 5 2 2 2" xfId="8647"/>
    <cellStyle name="Note 7 5 2 3" xfId="8646"/>
    <cellStyle name="Note 7 5 3" xfId="4376"/>
    <cellStyle name="Note 7 5 3 2" xfId="8648"/>
    <cellStyle name="Note 7 5 4" xfId="8645"/>
    <cellStyle name="Note 7 6" xfId="4377"/>
    <cellStyle name="Note 7 6 2" xfId="4378"/>
    <cellStyle name="Note 7 6 2 2" xfId="4379"/>
    <cellStyle name="Note 7 6 2 2 2" xfId="8651"/>
    <cellStyle name="Note 7 6 2 3" xfId="8650"/>
    <cellStyle name="Note 7 6 3" xfId="4380"/>
    <cellStyle name="Note 7 6 3 2" xfId="8652"/>
    <cellStyle name="Note 7 6 4" xfId="8649"/>
    <cellStyle name="Note 7 7" xfId="4381"/>
    <cellStyle name="Note 7 7 2" xfId="4382"/>
    <cellStyle name="Note 7 7 2 2" xfId="8654"/>
    <cellStyle name="Note 7 7 3" xfId="8653"/>
    <cellStyle name="Note 7 8" xfId="4383"/>
    <cellStyle name="Note 7 8 2" xfId="4384"/>
    <cellStyle name="Note 7 8 2 2" xfId="8656"/>
    <cellStyle name="Note 7 8 3" xfId="8655"/>
    <cellStyle name="Note 7 9" xfId="4385"/>
    <cellStyle name="Note 7 9 2" xfId="4386"/>
    <cellStyle name="Note 7 9 2 2" xfId="8658"/>
    <cellStyle name="Note 7 9 3" xfId="8657"/>
    <cellStyle name="Note 8" xfId="4387"/>
    <cellStyle name="Note 8 10" xfId="4388"/>
    <cellStyle name="Note 8 10 2" xfId="4389"/>
    <cellStyle name="Note 8 10 2 2" xfId="8661"/>
    <cellStyle name="Note 8 10 3" xfId="8660"/>
    <cellStyle name="Note 8 11" xfId="4390"/>
    <cellStyle name="Note 8 11 2" xfId="4391"/>
    <cellStyle name="Note 8 11 2 2" xfId="8663"/>
    <cellStyle name="Note 8 11 3" xfId="8662"/>
    <cellStyle name="Note 8 12" xfId="4392"/>
    <cellStyle name="Note 8 12 2" xfId="4393"/>
    <cellStyle name="Note 8 12 2 2" xfId="8665"/>
    <cellStyle name="Note 8 12 3" xfId="8664"/>
    <cellStyle name="Note 8 13" xfId="4394"/>
    <cellStyle name="Note 8 13 2" xfId="4395"/>
    <cellStyle name="Note 8 13 2 2" xfId="8667"/>
    <cellStyle name="Note 8 13 3" xfId="8666"/>
    <cellStyle name="Note 8 14" xfId="4396"/>
    <cellStyle name="Note 8 14 2" xfId="4397"/>
    <cellStyle name="Note 8 14 2 2" xfId="8669"/>
    <cellStyle name="Note 8 14 3" xfId="8668"/>
    <cellStyle name="Note 8 15" xfId="4398"/>
    <cellStyle name="Note 8 15 2" xfId="4399"/>
    <cellStyle name="Note 8 15 2 2" xfId="8671"/>
    <cellStyle name="Note 8 15 3" xfId="8670"/>
    <cellStyle name="Note 8 16" xfId="4400"/>
    <cellStyle name="Note 8 16 2" xfId="8672"/>
    <cellStyle name="Note 8 17" xfId="8659"/>
    <cellStyle name="Note 8 2" xfId="4401"/>
    <cellStyle name="Note 8 2 2" xfId="4402"/>
    <cellStyle name="Note 8 2 2 2" xfId="4403"/>
    <cellStyle name="Note 8 2 2 2 2" xfId="8675"/>
    <cellStyle name="Note 8 2 2 3" xfId="8674"/>
    <cellStyle name="Note 8 2 3" xfId="4404"/>
    <cellStyle name="Note 8 2 3 2" xfId="8676"/>
    <cellStyle name="Note 8 2 4" xfId="8673"/>
    <cellStyle name="Note 8 3" xfId="4405"/>
    <cellStyle name="Note 8 4" xfId="4406"/>
    <cellStyle name="Note 8 4 2" xfId="4407"/>
    <cellStyle name="Note 8 4 2 2" xfId="4408"/>
    <cellStyle name="Note 8 4 2 2 2" xfId="8679"/>
    <cellStyle name="Note 8 4 2 3" xfId="8678"/>
    <cellStyle name="Note 8 4 3" xfId="4409"/>
    <cellStyle name="Note 8 4 3 2" xfId="8680"/>
    <cellStyle name="Note 8 4 4" xfId="8677"/>
    <cellStyle name="Note 8 5" xfId="4410"/>
    <cellStyle name="Note 8 5 2" xfId="4411"/>
    <cellStyle name="Note 8 5 2 2" xfId="4412"/>
    <cellStyle name="Note 8 5 2 2 2" xfId="8683"/>
    <cellStyle name="Note 8 5 2 3" xfId="8682"/>
    <cellStyle name="Note 8 5 3" xfId="4413"/>
    <cellStyle name="Note 8 5 3 2" xfId="8684"/>
    <cellStyle name="Note 8 5 4" xfId="8681"/>
    <cellStyle name="Note 8 6" xfId="4414"/>
    <cellStyle name="Note 8 6 2" xfId="4415"/>
    <cellStyle name="Note 8 6 2 2" xfId="4416"/>
    <cellStyle name="Note 8 6 2 2 2" xfId="8687"/>
    <cellStyle name="Note 8 6 2 3" xfId="8686"/>
    <cellStyle name="Note 8 6 3" xfId="4417"/>
    <cellStyle name="Note 8 6 3 2" xfId="8688"/>
    <cellStyle name="Note 8 6 4" xfId="8685"/>
    <cellStyle name="Note 8 7" xfId="4418"/>
    <cellStyle name="Note 8 7 2" xfId="4419"/>
    <cellStyle name="Note 8 7 2 2" xfId="8690"/>
    <cellStyle name="Note 8 7 3" xfId="8689"/>
    <cellStyle name="Note 8 8" xfId="4420"/>
    <cellStyle name="Note 8 8 2" xfId="4421"/>
    <cellStyle name="Note 8 8 2 2" xfId="8692"/>
    <cellStyle name="Note 8 8 3" xfId="8691"/>
    <cellStyle name="Note 8 9" xfId="4422"/>
    <cellStyle name="Note 8 9 2" xfId="4423"/>
    <cellStyle name="Note 8 9 2 2" xfId="8694"/>
    <cellStyle name="Note 8 9 3" xfId="8693"/>
    <cellStyle name="Output" xfId="112" builtinId="21" customBuiltin="1"/>
    <cellStyle name="Output 2" xfId="113"/>
    <cellStyle name="Output 3" xfId="4424"/>
    <cellStyle name="Result" xfId="4425"/>
    <cellStyle name="Result2" xfId="4426"/>
    <cellStyle name="Title" xfId="114" builtinId="15" customBuiltin="1"/>
    <cellStyle name="Title 2" xfId="115"/>
    <cellStyle name="Title 3" xfId="4427"/>
    <cellStyle name="Total" xfId="116" builtinId="25" customBuiltin="1"/>
    <cellStyle name="Total 2" xfId="117"/>
    <cellStyle name="Total 3" xfId="4428"/>
    <cellStyle name="Warning Text" xfId="118" builtinId="11" customBuiltin="1"/>
    <cellStyle name="Warning Text 2" xfId="119"/>
    <cellStyle name="Warning Text 3" xfId="4429"/>
  </cellStyles>
  <dxfs count="8391"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fgColor indexed="9"/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8390"/>
      <tableStyleElement type="headerRow" dxfId="8389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1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2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3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4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5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6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7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8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19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20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22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23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24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26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27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28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29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30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baks.com/kading/03mil.html" TargetMode="External"/><Relationship Id="rId2" Type="http://schemas.openxmlformats.org/officeDocument/2006/relationships/hyperlink" Target="http://www.obaks.com/kading/06mil.html" TargetMode="External"/><Relationship Id="rId1" Type="http://schemas.openxmlformats.org/officeDocument/2006/relationships/hyperlink" Target="http://www.obaks.com/kading/08ont.html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://www.obaks.com/kading/01mil.html" TargetMode="External"/><Relationship Id="rId4" Type="http://schemas.openxmlformats.org/officeDocument/2006/relationships/hyperlink" Target="http://www.obaks.com/kading/02mil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225"/>
  <sheetViews>
    <sheetView tabSelected="1" zoomScale="75" zoomScaleNormal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4.5703125" style="4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19.7109375" style="2" customWidth="1"/>
    <col min="20" max="20" width="6.7109375" style="2" customWidth="1"/>
    <col min="21" max="21" width="3.7109375" style="2" customWidth="1"/>
    <col min="22" max="22" width="4" style="2" customWidth="1"/>
    <col min="23" max="23" width="5.5703125" style="2" customWidth="1"/>
    <col min="24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8554687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39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/>
      <c r="C3" s="33" t="s">
        <v>46</v>
      </c>
      <c r="D3" s="74"/>
      <c r="E3" s="75" t="str">
        <f t="shared" ref="E3:E67" si="0"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40" t="s">
        <v>120</v>
      </c>
      <c r="T3" s="46" t="str">
        <f>IF(ISERROR((VLOOKUP(S3,Pitchers!$B$1:H$800,4,FALSE))),"",(VLOOKUP(S3,Pitchers!$B$1:H$800,4,FALSE)))</f>
        <v>TBR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13</v>
      </c>
      <c r="X3" s="47">
        <f>IF(ISERROR((VLOOKUP(S3,Pitchers!B$2:AA$795,11,FALSE))),"",(VLOOKUP(S3,Pitchers!B$2:AA$795,11,FALSE)))</f>
        <v>212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XY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1">COUNTIF(D:D,S3)</f>
        <v>0</v>
      </c>
      <c r="AF3" s="12" t="str">
        <f t="shared" ref="AF3:AF22" si="2">IF(AE3&gt;0,X3/AE3,"")</f>
        <v/>
      </c>
      <c r="AG3" s="2" t="str">
        <f t="shared" ref="AG3:AG22" si="3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4">IF(ISERROR((INDIRECT(""&amp;$C3&amp;"!c"&amp;ROW(C3)))),"",(INDIRECT(""&amp;$C3&amp;"!c"&amp;ROW(C3))))</f>
        <v>ACA</v>
      </c>
    </row>
    <row r="4" spans="1:36" ht="12.75">
      <c r="A4" s="6">
        <v>4.0199999999999996</v>
      </c>
      <c r="B4" s="33"/>
      <c r="C4" s="33" t="s">
        <v>46</v>
      </c>
      <c r="D4" s="74"/>
      <c r="E4" s="75" t="str">
        <f t="shared" si="0"/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40" t="s">
        <v>667</v>
      </c>
      <c r="T4" s="46" t="str">
        <f>IF(ISERROR((VLOOKUP(S4,Pitchers!$B$1:H$800,4,FALSE))),"",(VLOOKUP(S4,Pitchers!$B$1:H$800,4,FALSE)))</f>
        <v>KCR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12</v>
      </c>
      <c r="X4" s="47">
        <f>IF(ISERROR((VLOOKUP(S4,Pitchers!B$2:AA$795,11,FALSE))),"",(VLOOKUP(S4,Pitchers!B$2:AA$795,11,FALSE)))</f>
        <v>199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>G</v>
      </c>
      <c r="AE4" s="11">
        <f t="shared" si="1"/>
        <v>0</v>
      </c>
      <c r="AF4" s="12" t="str">
        <f t="shared" si="2"/>
        <v/>
      </c>
      <c r="AG4" s="2" t="str">
        <f t="shared" si="3"/>
        <v/>
      </c>
      <c r="AH4" s="5">
        <f t="shared" ref="AH4:AH22" si="10">IF(AG4="must average at least 5 innings per start",500,0)</f>
        <v>0</v>
      </c>
      <c r="AJ4" s="33" t="str">
        <f t="shared" ca="1" si="4"/>
        <v>ACA</v>
      </c>
    </row>
    <row r="5" spans="1:36" ht="12.75">
      <c r="A5" s="6">
        <v>4.03</v>
      </c>
      <c r="B5" s="33"/>
      <c r="C5" s="33" t="s">
        <v>46</v>
      </c>
      <c r="D5" s="74"/>
      <c r="E5" s="75" t="str">
        <f t="shared" si="0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40" t="s">
        <v>1153</v>
      </c>
      <c r="T5" s="46" t="str">
        <f>IF(ISERROR((VLOOKUP(S5,Pitchers!$B$1:H$800,4,FALSE))),"",(VLOOKUP(S5,Pitchers!$B$1:H$800,4,FALSE)))</f>
        <v>CLE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12</v>
      </c>
      <c r="X5" s="47">
        <f>IF(ISERROR((VLOOKUP(S5,Pitchers!B$2:AA$795,11,FALSE))),"",(VLOOKUP(S5,Pitchers!B$2:AA$795,11,FALSE)))</f>
        <v>66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X</v>
      </c>
      <c r="AC5" s="52" t="str">
        <f>IF(ISERROR((VLOOKUP(S5,Pitchers!B$2:AA$795,17,FALSE))),"",(VLOOKUP(S5,Pitchers!B$2:AA$795,17,FALSE)))</f>
        <v>Z</v>
      </c>
      <c r="AD5" s="53" t="str">
        <f>IF(ISERROR((VLOOKUP(S5,Pitchers!B$2:AA$795,18,FALSE))),"",(VLOOKUP(S5,Pitchers!B$2:AA$795,18,FALSE)))</f>
        <v>M</v>
      </c>
      <c r="AE5" s="11">
        <f t="shared" si="1"/>
        <v>0</v>
      </c>
      <c r="AF5" s="12" t="str">
        <f t="shared" si="2"/>
        <v/>
      </c>
      <c r="AG5" s="2" t="str">
        <f t="shared" si="3"/>
        <v/>
      </c>
      <c r="AH5" s="5">
        <f t="shared" si="10"/>
        <v>0</v>
      </c>
      <c r="AJ5" s="33" t="str">
        <f t="shared" ca="1" si="4"/>
        <v>ACA</v>
      </c>
    </row>
    <row r="6" spans="1:36" ht="12.75">
      <c r="A6" s="6">
        <v>4.04</v>
      </c>
      <c r="B6" s="33"/>
      <c r="C6" s="33" t="s">
        <v>46</v>
      </c>
      <c r="D6" s="74"/>
      <c r="E6" s="75" t="str">
        <f t="shared" si="0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40" t="s">
        <v>1193</v>
      </c>
      <c r="T6" s="46" t="str">
        <f>IF(ISERROR((VLOOKUP(S6,Pitchers!$B$1:H$800,4,FALSE))),"",(VLOOKUP(S6,Pitchers!$B$1:H$800,4,FALSE)))</f>
        <v>NYY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10</v>
      </c>
      <c r="X6" s="47">
        <f>IF(ISERROR((VLOOKUP(S6,Pitchers!B$2:AA$795,11,FALSE))),"",(VLOOKUP(S6,Pitchers!B$2:AA$795,11,FALSE)))</f>
        <v>154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X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>L</v>
      </c>
      <c r="AE6" s="11">
        <f t="shared" si="1"/>
        <v>0</v>
      </c>
      <c r="AF6" s="12" t="str">
        <f t="shared" si="2"/>
        <v/>
      </c>
      <c r="AG6" s="2" t="str">
        <f t="shared" si="3"/>
        <v/>
      </c>
      <c r="AH6" s="5">
        <f t="shared" si="10"/>
        <v>0</v>
      </c>
      <c r="AJ6" s="33" t="str">
        <f t="shared" ca="1" si="4"/>
        <v>ACA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40" t="s">
        <v>60</v>
      </c>
      <c r="T7" s="46" t="str">
        <f>IF(ISERROR((VLOOKUP(S7,Pitchers!$B$1:H$800,4,FALSE))),"",(VLOOKUP(S7,Pitchers!$B$1:H$800,4,FALSE)))</f>
        <v>TEX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6</v>
      </c>
      <c r="X7" s="47">
        <f>IF(ISERROR((VLOOKUP(S7,Pitchers!B$2:AA$795,11,FALSE))),"",(VLOOKUP(S7,Pitchers!B$2:AA$795,11,FALSE)))</f>
        <v>84</v>
      </c>
      <c r="Y7" s="48"/>
      <c r="Z7" s="49"/>
      <c r="AA7" s="50"/>
      <c r="AB7" s="51" t="str">
        <f>IF(ISERROR((VLOOKUP(S7,Pitchers!B$2:AA$795,16,FALSE))),"",(VLOOKUP(S7,Pitchers!B$2:AA$795,16,FALSE)))</f>
        <v>Y</v>
      </c>
      <c r="AC7" s="52" t="str">
        <f>IF(ISERROR((VLOOKUP(S7,Pitchers!B$2:AA$795,17,FALSE))),"",(VLOOKUP(S7,Pitchers!B$2:AA$795,17,FALSE)))</f>
        <v>W</v>
      </c>
      <c r="AD7" s="53" t="str">
        <f>IF(ISERROR((VLOOKUP(S7,Pitchers!B$2:AA$795,18,FALSE))),"",(VLOOKUP(S7,Pitchers!B$2:AA$795,18,FALSE)))</f>
        <v xml:space="preserve"> </v>
      </c>
      <c r="AE7" s="11">
        <f t="shared" si="1"/>
        <v>0</v>
      </c>
      <c r="AF7" s="12" t="str">
        <f t="shared" si="2"/>
        <v/>
      </c>
      <c r="AG7" s="2" t="str">
        <f t="shared" si="3"/>
        <v/>
      </c>
      <c r="AH7" s="5">
        <f t="shared" si="10"/>
        <v>0</v>
      </c>
      <c r="AJ7" s="33" t="str">
        <f t="shared" ca="1" si="4"/>
        <v/>
      </c>
    </row>
    <row r="8" spans="1:36" ht="12.75">
      <c r="A8" s="6">
        <v>4.0599999999999996</v>
      </c>
      <c r="B8" s="32" t="s">
        <v>32</v>
      </c>
      <c r="C8" s="33" t="s">
        <v>53</v>
      </c>
      <c r="D8" s="74"/>
      <c r="E8" s="75" t="str">
        <f t="shared" si="0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40" t="s">
        <v>481</v>
      </c>
      <c r="T8" s="46" t="str">
        <f>IF(ISERROR((VLOOKUP(S8,Pitchers!$B$1:H$800,4,FALSE))),"",(VLOOKUP(S8,Pitchers!$B$1:H$800,4,FALSE)))</f>
        <v>BOS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5</v>
      </c>
      <c r="X8" s="47">
        <f>IF(ISERROR((VLOOKUP(S8,Pitchers!B$2:AA$795,11,FALSE))),"",(VLOOKUP(S8,Pitchers!B$2:AA$795,11,FALSE)))</f>
        <v>44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W</v>
      </c>
      <c r="AD8" s="53" t="str">
        <f>IF(ISERROR((VLOOKUP(S8,Pitchers!B$2:AA$795,18,FALSE))),"",(VLOOKUP(S8,Pitchers!B$2:AA$795,18,FALSE)))</f>
        <v xml:space="preserve"> </v>
      </c>
      <c r="AE8" s="11">
        <f t="shared" si="1"/>
        <v>0</v>
      </c>
      <c r="AF8" s="12" t="str">
        <f t="shared" si="2"/>
        <v/>
      </c>
      <c r="AG8" s="2" t="str">
        <f t="shared" si="3"/>
        <v/>
      </c>
      <c r="AH8" s="5">
        <f t="shared" si="10"/>
        <v>0</v>
      </c>
      <c r="AJ8" s="33" t="str">
        <f t="shared" ca="1" si="4"/>
        <v>ACA</v>
      </c>
    </row>
    <row r="9" spans="1:36" ht="12.75">
      <c r="A9" s="6">
        <v>4.07</v>
      </c>
      <c r="B9" s="32" t="s">
        <v>32</v>
      </c>
      <c r="C9" s="33" t="s">
        <v>53</v>
      </c>
      <c r="D9" s="74"/>
      <c r="E9" s="75" t="str">
        <f t="shared" si="0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40" t="s">
        <v>650</v>
      </c>
      <c r="T9" s="46" t="str">
        <f>IF(ISERROR((VLOOKUP(S9,Pitchers!$B$1:H$800,4,FALSE))),"",(VLOOKUP(S9,Pitchers!$B$1:H$800,4,FALSE)))</f>
        <v>BAL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173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 xml:space="preserve"> </v>
      </c>
      <c r="AE9" s="11">
        <f t="shared" si="1"/>
        <v>0</v>
      </c>
      <c r="AF9" s="12" t="str">
        <f t="shared" si="2"/>
        <v/>
      </c>
      <c r="AG9" s="2" t="str">
        <f t="shared" si="3"/>
        <v/>
      </c>
      <c r="AH9" s="5">
        <f t="shared" si="10"/>
        <v>0</v>
      </c>
      <c r="AJ9" s="33" t="str">
        <f t="shared" ca="1" si="4"/>
        <v>ACA</v>
      </c>
    </row>
    <row r="10" spans="1:36" ht="12.75">
      <c r="A10" s="6">
        <v>4.08</v>
      </c>
      <c r="B10" s="32" t="s">
        <v>32</v>
      </c>
      <c r="C10" s="33" t="s">
        <v>53</v>
      </c>
      <c r="D10" s="74"/>
      <c r="E10" s="75" t="str">
        <f t="shared" si="0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9" t="s">
        <v>1460</v>
      </c>
      <c r="T10" s="46" t="str">
        <f>IF(ISERROR((VLOOKUP(S10,Pitchers!$B$1:H$800,4,FALSE))),"",(VLOOKUP(S10,Pitchers!$B$1:H$800,4,FALSE)))</f>
        <v>NYM</v>
      </c>
      <c r="U10" s="45" t="str">
        <f>IF(ISERROR((VLOOKUP(S10,Pitchers!B$2:AA$795,10,FALSE))),"",(VLOOKUP(S10,Pitchers!B$2:AA$795,10,FALSE)))</f>
        <v>L</v>
      </c>
      <c r="V10" s="41"/>
      <c r="W10" s="46">
        <f>IF(ISERROR((VLOOKUP(S10,Pitchers!B$2:AA$795,13,FALSE))),"",(VLOOKUP(S10,Pitchers!B$2:AA$795,13,FALSE)))</f>
        <v>4</v>
      </c>
      <c r="X10" s="47">
        <f>IF(ISERROR((VLOOKUP(S10,Pitchers!B$2:AA$795,11,FALSE))),"",(VLOOKUP(S10,Pitchers!B$2:AA$795,11,FALSE)))</f>
        <v>5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X</v>
      </c>
      <c r="AC10" s="52" t="str">
        <f>IF(ISERROR((VLOOKUP(S10,Pitchers!B$2:AA$795,17,FALSE))),"",(VLOOKUP(S10,Pitchers!B$2:AA$795,17,FALSE)))</f>
        <v>Z</v>
      </c>
      <c r="AD10" s="53" t="str">
        <f>IF(ISERROR((VLOOKUP(S10,Pitchers!B$2:AA$795,18,FALSE))),"",(VLOOKUP(S10,Pitchers!B$2:AA$795,18,FALSE)))</f>
        <v>H</v>
      </c>
      <c r="AE10" s="11">
        <f t="shared" si="1"/>
        <v>0</v>
      </c>
      <c r="AF10" s="12" t="str">
        <f t="shared" si="2"/>
        <v/>
      </c>
      <c r="AG10" s="2" t="str">
        <f t="shared" si="3"/>
        <v/>
      </c>
      <c r="AH10" s="5">
        <f t="shared" si="10"/>
        <v>0</v>
      </c>
      <c r="AJ10" s="33" t="str">
        <f t="shared" ca="1" si="4"/>
        <v>ACA</v>
      </c>
    </row>
    <row r="11" spans="1:36" ht="12.75">
      <c r="A11" s="6">
        <v>4.09</v>
      </c>
      <c r="B11" s="32" t="s">
        <v>32</v>
      </c>
      <c r="C11" s="33" t="s">
        <v>53</v>
      </c>
      <c r="D11" s="74"/>
      <c r="E11" s="75" t="str">
        <f t="shared" si="0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80" t="s">
        <v>1461</v>
      </c>
      <c r="T11" s="46" t="str">
        <f>IF(ISERROR((VLOOKUP(S11,Pitchers!$B$1:H$800,4,FALSE))),"",(VLOOKUP(S11,Pitchers!$B$1:H$800,4,FALSE)))</f>
        <v>PHI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2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>Z</v>
      </c>
      <c r="AD11" s="53" t="str">
        <f>IF(ISERROR((VLOOKUP(S11,Pitchers!B$2:AA$795,18,FALSE))),"",(VLOOKUP(S11,Pitchers!B$2:AA$795,18,FALSE)))</f>
        <v xml:space="preserve"> </v>
      </c>
      <c r="AE11" s="11">
        <f t="shared" si="1"/>
        <v>0</v>
      </c>
      <c r="AF11" s="12" t="str">
        <f t="shared" si="2"/>
        <v/>
      </c>
      <c r="AG11" s="2" t="str">
        <f t="shared" si="3"/>
        <v/>
      </c>
      <c r="AH11" s="5">
        <f t="shared" si="10"/>
        <v>0</v>
      </c>
      <c r="AJ11" s="33" t="str">
        <f t="shared" ca="1" si="4"/>
        <v>ACA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81" t="s">
        <v>1462</v>
      </c>
      <c r="T12" s="46" t="str">
        <f>IF(ISERROR((VLOOKUP(S12,Pitchers!$B$1:H$800,4,FALSE))),"",(VLOOKUP(S12,Pitchers!$B$1:H$800,4,FALSE)))</f>
        <v>SDP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1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>Z</v>
      </c>
      <c r="AD12" s="53" t="str">
        <f>IF(ISERROR((VLOOKUP(S12,Pitchers!B$2:AA$795,18,FALSE))),"",(VLOOKUP(S12,Pitchers!B$2:AA$795,18,FALSE)))</f>
        <v xml:space="preserve"> </v>
      </c>
      <c r="AE12" s="11">
        <f t="shared" si="1"/>
        <v>0</v>
      </c>
      <c r="AF12" s="12" t="str">
        <f t="shared" si="2"/>
        <v/>
      </c>
      <c r="AG12" s="2" t="str">
        <f t="shared" si="3"/>
        <v/>
      </c>
      <c r="AH12" s="5">
        <f t="shared" si="10"/>
        <v>0</v>
      </c>
      <c r="AJ12" s="33" t="str">
        <f t="shared" ca="1" si="4"/>
        <v/>
      </c>
    </row>
    <row r="13" spans="1:36" ht="12.75">
      <c r="A13" s="6">
        <v>4.1100000000000003</v>
      </c>
      <c r="B13" s="33"/>
      <c r="C13" s="33" t="s">
        <v>1918</v>
      </c>
      <c r="D13" s="74"/>
      <c r="E13" s="75" t="str">
        <f t="shared" si="0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1"/>
        <v>0</v>
      </c>
      <c r="AF13" s="12" t="str">
        <f t="shared" si="2"/>
        <v/>
      </c>
      <c r="AG13" s="2" t="str">
        <f t="shared" si="3"/>
        <v/>
      </c>
      <c r="AH13" s="5">
        <f t="shared" si="10"/>
        <v>0</v>
      </c>
      <c r="AJ13" s="33" t="str">
        <f t="shared" ca="1" si="4"/>
        <v>ACA</v>
      </c>
    </row>
    <row r="14" spans="1:36" ht="12.75">
      <c r="A14" s="6">
        <v>4.12</v>
      </c>
      <c r="B14" s="33"/>
      <c r="C14" s="33" t="s">
        <v>1918</v>
      </c>
      <c r="D14" s="74"/>
      <c r="E14" s="75" t="str">
        <f t="shared" si="0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1"/>
        <v>0</v>
      </c>
      <c r="AF14" s="12" t="str">
        <f t="shared" si="2"/>
        <v/>
      </c>
      <c r="AG14" s="2" t="str">
        <f t="shared" si="3"/>
        <v/>
      </c>
      <c r="AH14" s="5">
        <f t="shared" si="10"/>
        <v>0</v>
      </c>
      <c r="AJ14" s="33" t="str">
        <f t="shared" ca="1" si="4"/>
        <v>ACA</v>
      </c>
    </row>
    <row r="15" spans="1:36" ht="12.75">
      <c r="A15" s="6">
        <v>4.13</v>
      </c>
      <c r="B15" s="33"/>
      <c r="C15" s="33" t="s">
        <v>1918</v>
      </c>
      <c r="D15" s="74"/>
      <c r="E15" s="75" t="str">
        <f t="shared" si="0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1"/>
        <v>0</v>
      </c>
      <c r="AF15" s="12" t="str">
        <f t="shared" si="2"/>
        <v/>
      </c>
      <c r="AG15" s="2" t="str">
        <f t="shared" si="3"/>
        <v/>
      </c>
      <c r="AH15" s="5">
        <f t="shared" si="10"/>
        <v>0</v>
      </c>
      <c r="AJ15" s="33" t="str">
        <f t="shared" ca="1" si="4"/>
        <v>ACA</v>
      </c>
    </row>
    <row r="16" spans="1:36" ht="12.75">
      <c r="A16" s="6">
        <v>4.1399999999999997</v>
      </c>
      <c r="B16" s="33"/>
      <c r="C16" s="33" t="s">
        <v>1918</v>
      </c>
      <c r="D16" s="74"/>
      <c r="E16" s="75" t="str">
        <f t="shared" si="0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1"/>
        <v>0</v>
      </c>
      <c r="AF16" s="12" t="str">
        <f t="shared" si="2"/>
        <v/>
      </c>
      <c r="AG16" s="2" t="str">
        <f t="shared" si="3"/>
        <v/>
      </c>
      <c r="AH16" s="5">
        <f t="shared" si="10"/>
        <v>0</v>
      </c>
      <c r="AJ16" s="33" t="str">
        <f t="shared" ca="1" si="4"/>
        <v>ACA</v>
      </c>
    </row>
    <row r="17" spans="1:36" ht="12.75">
      <c r="A17" s="6">
        <v>4.1500000000000004</v>
      </c>
      <c r="B17" s="33"/>
      <c r="C17" s="33"/>
      <c r="D17" s="74"/>
      <c r="E17" s="75" t="str">
        <f t="shared" si="0"/>
        <v/>
      </c>
      <c r="F17" s="75" t="str">
        <f t="shared" si="5"/>
        <v/>
      </c>
      <c r="G17" s="75" t="str">
        <f t="shared" si="6"/>
        <v/>
      </c>
      <c r="H17" s="75" t="str">
        <f t="shared" si="7"/>
        <v/>
      </c>
      <c r="I17" s="75" t="str">
        <f t="shared" si="8"/>
        <v/>
      </c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1"/>
        <v>0</v>
      </c>
      <c r="AF17" s="12" t="str">
        <f t="shared" si="2"/>
        <v/>
      </c>
      <c r="AG17" s="2" t="str">
        <f t="shared" si="3"/>
        <v/>
      </c>
      <c r="AH17" s="5">
        <f t="shared" si="10"/>
        <v>0</v>
      </c>
      <c r="AJ17" s="33" t="str">
        <f t="shared" ca="1" si="4"/>
        <v/>
      </c>
    </row>
    <row r="18" spans="1:36" ht="12.75">
      <c r="A18" s="6">
        <v>4.16</v>
      </c>
      <c r="B18" s="33" t="s">
        <v>32</v>
      </c>
      <c r="C18" s="33" t="s">
        <v>1191</v>
      </c>
      <c r="D18" s="74"/>
      <c r="E18" s="75" t="str">
        <f t="shared" si="0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1"/>
        <v>0</v>
      </c>
      <c r="AF18" s="12" t="str">
        <f t="shared" si="2"/>
        <v/>
      </c>
      <c r="AG18" s="2" t="str">
        <f t="shared" si="3"/>
        <v/>
      </c>
      <c r="AH18" s="5">
        <f t="shared" si="10"/>
        <v>0</v>
      </c>
      <c r="AJ18" s="33" t="str">
        <f t="shared" ca="1" si="4"/>
        <v>ACA</v>
      </c>
    </row>
    <row r="19" spans="1:36" ht="12.75">
      <c r="A19" s="6">
        <v>4.17</v>
      </c>
      <c r="B19" s="33" t="s">
        <v>32</v>
      </c>
      <c r="C19" s="33" t="s">
        <v>1191</v>
      </c>
      <c r="D19" s="74"/>
      <c r="E19" s="75" t="str">
        <f t="shared" si="0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1"/>
        <v>0</v>
      </c>
      <c r="AF19" s="12" t="str">
        <f t="shared" si="2"/>
        <v/>
      </c>
      <c r="AG19" s="2" t="str">
        <f t="shared" si="3"/>
        <v/>
      </c>
      <c r="AH19" s="5">
        <f t="shared" si="10"/>
        <v>0</v>
      </c>
      <c r="AJ19" s="33" t="str">
        <f t="shared" ca="1" si="4"/>
        <v>ACA</v>
      </c>
    </row>
    <row r="20" spans="1:36" ht="12.75">
      <c r="A20" s="6">
        <v>4.18</v>
      </c>
      <c r="B20" s="33" t="s">
        <v>32</v>
      </c>
      <c r="C20" s="33" t="s">
        <v>1191</v>
      </c>
      <c r="D20" s="74"/>
      <c r="E20" s="75" t="str">
        <f t="shared" si="0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1"/>
        <v>0</v>
      </c>
      <c r="AF20" s="12" t="str">
        <f t="shared" si="2"/>
        <v/>
      </c>
      <c r="AG20" s="2" t="str">
        <f t="shared" si="3"/>
        <v/>
      </c>
      <c r="AH20" s="5">
        <f t="shared" si="10"/>
        <v>0</v>
      </c>
      <c r="AJ20" s="33" t="str">
        <f t="shared" ca="1" si="4"/>
        <v>ACA</v>
      </c>
    </row>
    <row r="21" spans="1:36" ht="12.75">
      <c r="A21" s="6">
        <v>4.1900000000000004</v>
      </c>
      <c r="B21" s="33" t="s">
        <v>32</v>
      </c>
      <c r="C21" s="33" t="s">
        <v>1191</v>
      </c>
      <c r="D21" s="74"/>
      <c r="E21" s="75" t="str">
        <f t="shared" si="0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1"/>
        <v>0</v>
      </c>
      <c r="AF21" s="12" t="str">
        <f t="shared" si="2"/>
        <v/>
      </c>
      <c r="AG21" s="2" t="str">
        <f t="shared" si="3"/>
        <v/>
      </c>
      <c r="AH21" s="5">
        <f t="shared" si="10"/>
        <v>0</v>
      </c>
      <c r="AJ21" s="33" t="str">
        <f t="shared" ca="1" si="4"/>
        <v>ACA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1"/>
        <v>0</v>
      </c>
      <c r="AF22" s="12" t="str">
        <f t="shared" si="2"/>
        <v/>
      </c>
      <c r="AG22" s="2" t="str">
        <f t="shared" si="3"/>
        <v/>
      </c>
      <c r="AH22" s="5">
        <f t="shared" si="10"/>
        <v>0</v>
      </c>
      <c r="AJ22" s="33" t="str">
        <f t="shared" ca="1" si="4"/>
        <v/>
      </c>
    </row>
    <row r="23" spans="1:36" ht="12.75">
      <c r="A23" s="6">
        <v>4.21</v>
      </c>
      <c r="B23" s="33"/>
      <c r="C23" s="33" t="s">
        <v>54</v>
      </c>
      <c r="D23" s="74"/>
      <c r="E23" s="75" t="str">
        <f t="shared" si="0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4"/>
        <v>ACA</v>
      </c>
    </row>
    <row r="24" spans="1:36" ht="12.75">
      <c r="A24" s="6">
        <v>4.22</v>
      </c>
      <c r="B24" s="33"/>
      <c r="C24" s="33" t="s">
        <v>54</v>
      </c>
      <c r="D24" s="74"/>
      <c r="E24" s="75" t="str">
        <f t="shared" si="0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4"/>
        <v>ACA</v>
      </c>
    </row>
    <row r="25" spans="1:36" ht="12.75">
      <c r="A25" s="6">
        <v>4.2300000000000004</v>
      </c>
      <c r="B25" s="33"/>
      <c r="C25" s="33" t="s">
        <v>54</v>
      </c>
      <c r="D25" s="74"/>
      <c r="E25" s="75" t="str">
        <f t="shared" si="0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4"/>
        <v>ACA</v>
      </c>
    </row>
    <row r="26" spans="1:36" ht="12.75">
      <c r="A26" s="6">
        <v>4.24</v>
      </c>
      <c r="B26" s="33"/>
      <c r="C26" s="33" t="s">
        <v>54</v>
      </c>
      <c r="D26" s="74"/>
      <c r="E26" s="75" t="str">
        <f t="shared" si="0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4"/>
        <v>ACA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4"/>
        <v/>
      </c>
    </row>
    <row r="28" spans="1:36" ht="12.75">
      <c r="A28" s="6">
        <v>4.26</v>
      </c>
      <c r="B28" s="33"/>
      <c r="C28" s="33" t="s">
        <v>51</v>
      </c>
      <c r="D28" s="74"/>
      <c r="E28" s="75" t="str">
        <f t="shared" si="0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4"/>
        <v>ACA</v>
      </c>
    </row>
    <row r="29" spans="1:36" ht="12.75">
      <c r="A29" s="6">
        <v>4.2699999999999996</v>
      </c>
      <c r="B29" s="33"/>
      <c r="C29" s="33" t="s">
        <v>51</v>
      </c>
      <c r="D29" s="74"/>
      <c r="E29" s="75" t="str">
        <f t="shared" si="0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4"/>
        <v>ACA</v>
      </c>
    </row>
    <row r="30" spans="1:36" ht="12.75">
      <c r="A30" s="6">
        <v>4.28</v>
      </c>
      <c r="B30" s="33"/>
      <c r="C30" s="33" t="s">
        <v>51</v>
      </c>
      <c r="D30" s="74"/>
      <c r="E30" s="75" t="str">
        <f t="shared" si="0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4"/>
        <v>ACA</v>
      </c>
    </row>
    <row r="31" spans="1:36" ht="12.75">
      <c r="A31" s="6">
        <v>4.29</v>
      </c>
      <c r="B31" s="33"/>
      <c r="C31" s="33" t="s">
        <v>51</v>
      </c>
      <c r="D31" s="74"/>
      <c r="E31" s="75" t="str">
        <f t="shared" si="0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4"/>
        <v>ACA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4"/>
        <v/>
      </c>
    </row>
    <row r="33" spans="1:36" ht="12.75">
      <c r="A33" s="6">
        <v>5.01</v>
      </c>
      <c r="B33" s="33"/>
      <c r="C33" s="33" t="s">
        <v>47</v>
      </c>
      <c r="D33" s="74"/>
      <c r="E33" s="75" t="str">
        <f t="shared" si="0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4"/>
        <v>ACA</v>
      </c>
    </row>
    <row r="34" spans="1:36" ht="12.75">
      <c r="A34" s="6">
        <v>5.0199999999999996</v>
      </c>
      <c r="B34" s="33"/>
      <c r="C34" s="33" t="s">
        <v>47</v>
      </c>
      <c r="D34" s="74"/>
      <c r="E34" s="75" t="str">
        <f t="shared" si="0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4"/>
        <v>ACA</v>
      </c>
    </row>
    <row r="35" spans="1:36" ht="12.75">
      <c r="A35" s="6">
        <v>5.03</v>
      </c>
      <c r="B35" s="33"/>
      <c r="C35" s="33" t="s">
        <v>47</v>
      </c>
      <c r="D35" s="74"/>
      <c r="E35" s="75" t="str">
        <f t="shared" si="0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4"/>
        <v>ACA</v>
      </c>
    </row>
    <row r="36" spans="1:36" ht="12.75">
      <c r="A36" s="6">
        <v>5.04</v>
      </c>
      <c r="B36" s="33"/>
      <c r="C36" s="33" t="s">
        <v>47</v>
      </c>
      <c r="D36" s="74"/>
      <c r="E36" s="75" t="str">
        <f t="shared" si="0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4"/>
        <v>ACA</v>
      </c>
    </row>
    <row r="37" spans="1:36" ht="12.75">
      <c r="A37" s="6">
        <v>5.05</v>
      </c>
      <c r="B37" s="33"/>
      <c r="C37" s="33" t="s">
        <v>14</v>
      </c>
      <c r="D37" s="74"/>
      <c r="E37" s="75" t="str">
        <f t="shared" si="0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4"/>
        <v>ACA</v>
      </c>
    </row>
    <row r="38" spans="1:36" ht="12.75">
      <c r="A38" s="6">
        <v>5.0599999999999996</v>
      </c>
      <c r="B38" s="33"/>
      <c r="C38" s="33" t="s">
        <v>14</v>
      </c>
      <c r="D38" s="74"/>
      <c r="E38" s="75" t="str">
        <f t="shared" si="0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4"/>
        <v>ACA</v>
      </c>
    </row>
    <row r="39" spans="1:36" ht="12.75">
      <c r="A39" s="6">
        <v>5.07</v>
      </c>
      <c r="B39" s="33"/>
      <c r="C39" s="33" t="s">
        <v>14</v>
      </c>
      <c r="D39" s="74"/>
      <c r="E39" s="75" t="str">
        <f t="shared" si="0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4"/>
        <v>ACA</v>
      </c>
    </row>
    <row r="40" spans="1:36" ht="12.75">
      <c r="A40" s="6">
        <v>5.08</v>
      </c>
      <c r="B40" s="33"/>
      <c r="C40" s="33" t="s">
        <v>14</v>
      </c>
      <c r="D40" s="74"/>
      <c r="E40" s="75" t="str">
        <f t="shared" si="0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4"/>
        <v>ACA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4"/>
        <v/>
      </c>
    </row>
    <row r="42" spans="1:36" ht="12.75">
      <c r="A42" s="6">
        <v>5.0999999999999996</v>
      </c>
      <c r="B42" s="33" t="s">
        <v>32</v>
      </c>
      <c r="C42" s="33" t="s">
        <v>44</v>
      </c>
      <c r="D42" s="74"/>
      <c r="E42" s="75" t="str">
        <f t="shared" si="0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4"/>
        <v>ACA</v>
      </c>
    </row>
    <row r="43" spans="1:36" ht="12.75">
      <c r="A43" s="6">
        <v>5.1100000000000003</v>
      </c>
      <c r="B43" s="33" t="s">
        <v>32</v>
      </c>
      <c r="C43" s="33" t="s">
        <v>44</v>
      </c>
      <c r="D43" s="74"/>
      <c r="E43" s="75" t="str">
        <f t="shared" si="0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4"/>
        <v>ACA</v>
      </c>
    </row>
    <row r="44" spans="1:36" ht="12.75">
      <c r="A44" s="6">
        <v>5.12</v>
      </c>
      <c r="B44" s="33" t="s">
        <v>32</v>
      </c>
      <c r="C44" s="33" t="s">
        <v>44</v>
      </c>
      <c r="D44" s="74"/>
      <c r="E44" s="75" t="str">
        <f t="shared" si="0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4"/>
        <v>ACA</v>
      </c>
    </row>
    <row r="45" spans="1:36" ht="12.75">
      <c r="A45" s="6">
        <v>5.13</v>
      </c>
      <c r="B45" s="33" t="s">
        <v>32</v>
      </c>
      <c r="C45" s="33" t="s">
        <v>44</v>
      </c>
      <c r="D45" s="74"/>
      <c r="E45" s="75" t="str">
        <f t="shared" si="0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4"/>
        <v>ACA</v>
      </c>
    </row>
    <row r="46" spans="1:36" ht="12.75">
      <c r="A46" s="6">
        <v>5.14</v>
      </c>
      <c r="B46" s="33" t="s">
        <v>32</v>
      </c>
      <c r="C46" s="33" t="s">
        <v>55</v>
      </c>
      <c r="D46" s="74"/>
      <c r="E46" s="75" t="str">
        <f t="shared" si="0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4"/>
        <v>ACA</v>
      </c>
    </row>
    <row r="47" spans="1:36" ht="12.75">
      <c r="A47" s="6">
        <v>5.15</v>
      </c>
      <c r="B47" s="33" t="s">
        <v>32</v>
      </c>
      <c r="C47" s="33" t="s">
        <v>55</v>
      </c>
      <c r="D47" s="74"/>
      <c r="E47" s="75" t="str">
        <f t="shared" si="0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4"/>
        <v>ACA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4"/>
        <v/>
      </c>
    </row>
    <row r="49" spans="1:36" ht="12.75">
      <c r="A49" s="6">
        <v>5.17</v>
      </c>
      <c r="B49" s="33" t="s">
        <v>32</v>
      </c>
      <c r="C49" s="33" t="s">
        <v>55</v>
      </c>
      <c r="D49" s="74"/>
      <c r="E49" s="75" t="str">
        <f t="shared" si="0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4"/>
        <v>ACA</v>
      </c>
    </row>
    <row r="50" spans="1:36" ht="12.75">
      <c r="A50" s="6">
        <v>5.18</v>
      </c>
      <c r="B50" s="33" t="s">
        <v>32</v>
      </c>
      <c r="C50" s="33" t="s">
        <v>55</v>
      </c>
      <c r="D50" s="74"/>
      <c r="E50" s="75" t="str">
        <f t="shared" si="0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4"/>
        <v>ACA</v>
      </c>
    </row>
    <row r="51" spans="1:36" ht="12.75">
      <c r="A51" s="6">
        <v>5.19</v>
      </c>
      <c r="B51" s="33" t="s">
        <v>32</v>
      </c>
      <c r="C51" s="33" t="s">
        <v>12</v>
      </c>
      <c r="D51" s="74"/>
      <c r="E51" s="75" t="str">
        <f t="shared" si="0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4"/>
        <v>ACA</v>
      </c>
    </row>
    <row r="52" spans="1:36" ht="12.75">
      <c r="A52" s="6">
        <v>5.2</v>
      </c>
      <c r="B52" s="33" t="s">
        <v>32</v>
      </c>
      <c r="C52" s="33" t="s">
        <v>12</v>
      </c>
      <c r="D52" s="74"/>
      <c r="E52" s="75" t="str">
        <f t="shared" si="0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4"/>
        <v>ACA</v>
      </c>
    </row>
    <row r="53" spans="1:36" ht="12.75">
      <c r="A53" s="6">
        <v>5.21</v>
      </c>
      <c r="B53" s="33" t="s">
        <v>32</v>
      </c>
      <c r="C53" s="33" t="s">
        <v>12</v>
      </c>
      <c r="D53" s="74"/>
      <c r="E53" s="75" t="str">
        <f t="shared" si="0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4"/>
        <v>ACA</v>
      </c>
    </row>
    <row r="54" spans="1:36" ht="12.75">
      <c r="A54" s="6">
        <v>5.22</v>
      </c>
      <c r="B54" s="33" t="s">
        <v>32</v>
      </c>
      <c r="C54" s="33" t="s">
        <v>12</v>
      </c>
      <c r="D54" s="74"/>
      <c r="E54" s="75" t="str">
        <f t="shared" si="0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4"/>
        <v>ACA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4"/>
        <v/>
      </c>
    </row>
    <row r="56" spans="1:36" ht="12.75">
      <c r="A56" s="6">
        <v>5.24</v>
      </c>
      <c r="B56" s="32" t="s">
        <v>32</v>
      </c>
      <c r="C56" s="33" t="s">
        <v>56</v>
      </c>
      <c r="D56" s="74"/>
      <c r="E56" s="75" t="str">
        <f t="shared" si="0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4"/>
        <v>ACA</v>
      </c>
    </row>
    <row r="57" spans="1:36" ht="12.75">
      <c r="A57" s="6">
        <v>5.25</v>
      </c>
      <c r="B57" s="32" t="s">
        <v>32</v>
      </c>
      <c r="C57" s="33" t="s">
        <v>56</v>
      </c>
      <c r="D57" s="74"/>
      <c r="E57" s="75" t="str">
        <f t="shared" si="0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4"/>
        <v>ACA</v>
      </c>
    </row>
    <row r="58" spans="1:36" ht="12.75">
      <c r="A58" s="6">
        <v>5.26</v>
      </c>
      <c r="B58" s="32" t="s">
        <v>32</v>
      </c>
      <c r="C58" s="33" t="s">
        <v>56</v>
      </c>
      <c r="D58" s="74"/>
      <c r="E58" s="75" t="str">
        <f t="shared" si="0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4"/>
        <v>ACA</v>
      </c>
    </row>
    <row r="59" spans="1:36" ht="12.75">
      <c r="A59" s="6">
        <v>5.27</v>
      </c>
      <c r="B59" s="32" t="s">
        <v>32</v>
      </c>
      <c r="C59" s="33" t="s">
        <v>56</v>
      </c>
      <c r="D59" s="74"/>
      <c r="E59" s="75" t="str">
        <f t="shared" si="0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4"/>
        <v>ACA</v>
      </c>
    </row>
    <row r="60" spans="1:36" ht="12.75">
      <c r="A60" s="6">
        <v>5.28</v>
      </c>
      <c r="B60" s="33"/>
      <c r="C60" s="33" t="s">
        <v>15</v>
      </c>
      <c r="D60" s="74"/>
      <c r="E60" s="75" t="str">
        <f t="shared" si="0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4"/>
        <v>ACA</v>
      </c>
    </row>
    <row r="61" spans="1:36" ht="12.75">
      <c r="A61" s="6">
        <v>5.29</v>
      </c>
      <c r="B61" s="33"/>
      <c r="C61" s="33" t="s">
        <v>15</v>
      </c>
      <c r="D61" s="74"/>
      <c r="E61" s="75" t="str">
        <f t="shared" si="0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4"/>
        <v>ACA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4"/>
        <v/>
      </c>
    </row>
    <row r="63" spans="1:36" ht="12.75">
      <c r="A63" s="6">
        <v>5.31</v>
      </c>
      <c r="B63" s="33"/>
      <c r="C63" s="33" t="s">
        <v>15</v>
      </c>
      <c r="D63" s="74"/>
      <c r="E63" s="75" t="str">
        <f t="shared" si="0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4"/>
        <v>ACA</v>
      </c>
    </row>
    <row r="64" spans="1:36" ht="12.75">
      <c r="A64" s="6">
        <v>6.01</v>
      </c>
      <c r="B64" s="33" t="s">
        <v>32</v>
      </c>
      <c r="C64" s="33" t="s">
        <v>49</v>
      </c>
      <c r="D64" s="74"/>
      <c r="E64" s="75" t="str">
        <f t="shared" si="0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4"/>
        <v>ACA</v>
      </c>
    </row>
    <row r="65" spans="1:36" ht="12.75">
      <c r="A65" s="6">
        <v>6.02</v>
      </c>
      <c r="B65" s="33" t="s">
        <v>32</v>
      </c>
      <c r="C65" s="33" t="s">
        <v>49</v>
      </c>
      <c r="D65" s="74"/>
      <c r="E65" s="75" t="str">
        <f t="shared" si="0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4"/>
        <v>ACA</v>
      </c>
    </row>
    <row r="66" spans="1:36" ht="12.75">
      <c r="A66" s="6">
        <v>6.03</v>
      </c>
      <c r="B66" s="33" t="s">
        <v>32</v>
      </c>
      <c r="C66" s="33" t="s">
        <v>49</v>
      </c>
      <c r="D66" s="74"/>
      <c r="E66" s="75" t="str">
        <f t="shared" si="0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4"/>
        <v>ACA</v>
      </c>
    </row>
    <row r="67" spans="1:36" ht="12.75">
      <c r="A67" s="6">
        <v>6.04</v>
      </c>
      <c r="B67" s="33" t="s">
        <v>32</v>
      </c>
      <c r="C67" s="33" t="s">
        <v>49</v>
      </c>
      <c r="D67" s="74"/>
      <c r="E67" s="75" t="str">
        <f t="shared" si="0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ACA</v>
      </c>
    </row>
    <row r="68" spans="1:36" ht="12.75">
      <c r="A68" s="6">
        <v>6.05</v>
      </c>
      <c r="B68" s="33"/>
      <c r="C68" s="33" t="s">
        <v>40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ACA</v>
      </c>
    </row>
    <row r="69" spans="1:36" ht="12.75">
      <c r="A69" s="6">
        <v>6.06</v>
      </c>
      <c r="B69" s="33"/>
      <c r="C69" s="33" t="s">
        <v>40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ACA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/>
      <c r="C71" s="33" t="s">
        <v>40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ACA</v>
      </c>
    </row>
    <row r="72" spans="1:36" ht="12.75">
      <c r="A72" s="6">
        <v>6.09</v>
      </c>
      <c r="B72" s="33"/>
      <c r="C72" s="33" t="s">
        <v>40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ACA</v>
      </c>
    </row>
    <row r="73" spans="1:36" ht="12.75">
      <c r="A73" s="6">
        <v>6.1</v>
      </c>
      <c r="B73" s="32" t="s">
        <v>32</v>
      </c>
      <c r="C73" s="33" t="s">
        <v>35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ACA</v>
      </c>
    </row>
    <row r="74" spans="1:36" ht="12.75">
      <c r="A74" s="6">
        <v>6.11</v>
      </c>
      <c r="B74" s="32" t="s">
        <v>32</v>
      </c>
      <c r="C74" s="33" t="s">
        <v>35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ACA</v>
      </c>
    </row>
    <row r="75" spans="1:36" ht="12.75">
      <c r="A75" s="6">
        <v>6.12</v>
      </c>
      <c r="B75" s="32" t="s">
        <v>32</v>
      </c>
      <c r="C75" s="33" t="s">
        <v>35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ACA</v>
      </c>
    </row>
    <row r="76" spans="1:36" ht="12.75">
      <c r="A76" s="6">
        <v>6.13</v>
      </c>
      <c r="B76" s="32" t="s">
        <v>32</v>
      </c>
      <c r="C76" s="33" t="s">
        <v>35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ACA</v>
      </c>
    </row>
    <row r="77" spans="1:36" ht="12.75">
      <c r="A77" s="6">
        <v>6.14</v>
      </c>
      <c r="B77" s="33" t="s">
        <v>32</v>
      </c>
      <c r="C77" s="33" t="s">
        <v>42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ACA</v>
      </c>
    </row>
    <row r="78" spans="1:36" ht="12.75">
      <c r="A78" s="6">
        <v>6.15</v>
      </c>
      <c r="B78" s="33" t="s">
        <v>32</v>
      </c>
      <c r="C78" s="33" t="s">
        <v>42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ACA</v>
      </c>
    </row>
    <row r="79" spans="1:36" ht="12.75">
      <c r="A79" s="6">
        <v>6.16</v>
      </c>
      <c r="B79" s="33" t="s">
        <v>32</v>
      </c>
      <c r="C79" s="33" t="s">
        <v>42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ACA</v>
      </c>
    </row>
    <row r="80" spans="1:36" ht="12.75">
      <c r="A80" s="6">
        <v>6.17</v>
      </c>
      <c r="B80" s="33" t="s">
        <v>32</v>
      </c>
      <c r="C80" s="33" t="s">
        <v>42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ACA</v>
      </c>
    </row>
    <row r="81" spans="1:36" ht="12.75">
      <c r="A81" s="6">
        <v>6.18</v>
      </c>
      <c r="B81" s="33"/>
      <c r="C81" s="33" t="s">
        <v>1919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ACA</v>
      </c>
    </row>
    <row r="82" spans="1:36" ht="12.75">
      <c r="A82" s="6">
        <v>6.19</v>
      </c>
      <c r="B82" s="33"/>
      <c r="C82" s="33" t="s">
        <v>1919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ACA</v>
      </c>
    </row>
    <row r="83" spans="1:36" ht="12.75">
      <c r="A83" s="6">
        <v>6.2</v>
      </c>
      <c r="B83" s="33"/>
      <c r="C83" s="33"/>
      <c r="D83" s="74"/>
      <c r="E83" s="75" t="str">
        <f t="shared" si="18"/>
        <v/>
      </c>
      <c r="F83" s="75" t="str">
        <f t="shared" si="19"/>
        <v/>
      </c>
      <c r="G83" s="75" t="str">
        <f t="shared" si="20"/>
        <v/>
      </c>
      <c r="H83" s="75" t="str">
        <f t="shared" si="21"/>
        <v/>
      </c>
      <c r="I83" s="75" t="str">
        <f t="shared" si="22"/>
        <v/>
      </c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/>
      <c r="C84" s="33" t="s">
        <v>1919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ACA</v>
      </c>
    </row>
    <row r="85" spans="1:36" ht="12.75">
      <c r="A85" s="6">
        <v>6.22</v>
      </c>
      <c r="B85" s="33"/>
      <c r="C85" s="33" t="s">
        <v>1919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ACA</v>
      </c>
    </row>
    <row r="86" spans="1:36" ht="12.75">
      <c r="A86" s="6">
        <v>6.23</v>
      </c>
      <c r="B86" s="33" t="s">
        <v>32</v>
      </c>
      <c r="C86" s="33" t="s">
        <v>13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ACA</v>
      </c>
    </row>
    <row r="87" spans="1:36" ht="12.75">
      <c r="A87" s="6">
        <v>6.24</v>
      </c>
      <c r="B87" s="33" t="s">
        <v>32</v>
      </c>
      <c r="C87" s="33" t="s">
        <v>13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ACA</v>
      </c>
    </row>
    <row r="88" spans="1:36" ht="12.75">
      <c r="A88" s="6">
        <v>6.25</v>
      </c>
      <c r="B88" s="33" t="s">
        <v>32</v>
      </c>
      <c r="C88" s="33" t="s">
        <v>13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ACA</v>
      </c>
    </row>
    <row r="89" spans="1:36" ht="12.75">
      <c r="A89" s="6">
        <v>6.26</v>
      </c>
      <c r="B89" s="33" t="s">
        <v>32</v>
      </c>
      <c r="C89" s="33" t="s">
        <v>13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ACA</v>
      </c>
    </row>
    <row r="90" spans="1:36" ht="12.75">
      <c r="A90" s="6">
        <v>6.27</v>
      </c>
      <c r="B90" s="32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5">
      <c r="A91" s="6">
        <v>6.28</v>
      </c>
      <c r="B91" s="36" t="s">
        <v>32</v>
      </c>
      <c r="C91" s="36" t="s">
        <v>1917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ACA</v>
      </c>
    </row>
    <row r="92" spans="1:36" ht="15">
      <c r="A92" s="6">
        <v>6.29</v>
      </c>
      <c r="B92" s="36" t="s">
        <v>32</v>
      </c>
      <c r="C92" s="36" t="s">
        <v>1917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ACA</v>
      </c>
    </row>
    <row r="93" spans="1:36" ht="15">
      <c r="A93" s="6">
        <v>6.3</v>
      </c>
      <c r="B93" s="36" t="s">
        <v>32</v>
      </c>
      <c r="C93" s="36" t="s">
        <v>1917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ACA</v>
      </c>
    </row>
    <row r="94" spans="1:36" ht="12.75">
      <c r="A94" s="6">
        <v>7.01</v>
      </c>
      <c r="B94" s="33"/>
      <c r="C94" s="33" t="s">
        <v>41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ACA</v>
      </c>
    </row>
    <row r="95" spans="1:36" ht="12.75">
      <c r="A95" s="6">
        <v>7.02</v>
      </c>
      <c r="B95" s="33"/>
      <c r="C95" s="33" t="s">
        <v>41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ACA</v>
      </c>
    </row>
    <row r="96" spans="1:36" ht="12.75">
      <c r="A96" s="6">
        <v>7.03</v>
      </c>
      <c r="B96" s="33"/>
      <c r="C96" s="33" t="s">
        <v>41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ACA</v>
      </c>
    </row>
    <row r="97" spans="1:36" ht="12.75">
      <c r="A97" s="6">
        <v>7.04</v>
      </c>
      <c r="B97" s="33" t="s">
        <v>32</v>
      </c>
      <c r="C97" s="33" t="s">
        <v>48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ACA</v>
      </c>
    </row>
    <row r="98" spans="1:36" ht="12.75">
      <c r="A98" s="6">
        <v>7.05</v>
      </c>
      <c r="B98" s="33" t="s">
        <v>32</v>
      </c>
      <c r="C98" s="33" t="s">
        <v>48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ACA</v>
      </c>
    </row>
    <row r="99" spans="1:36" ht="12.75">
      <c r="A99" s="6">
        <v>7.06</v>
      </c>
      <c r="B99" s="33" t="s">
        <v>32</v>
      </c>
      <c r="C99" s="33" t="s">
        <v>48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ACA</v>
      </c>
    </row>
    <row r="100" spans="1:36" ht="12.75">
      <c r="A100" s="6">
        <v>7.07</v>
      </c>
      <c r="B100" s="33"/>
      <c r="C100" s="33" t="s">
        <v>43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ACA</v>
      </c>
    </row>
    <row r="101" spans="1:36" ht="12.75">
      <c r="A101" s="6">
        <v>7.08</v>
      </c>
      <c r="B101" s="33"/>
      <c r="C101" s="33" t="s">
        <v>43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ACA</v>
      </c>
    </row>
    <row r="102" spans="1:36" ht="12.75">
      <c r="A102" s="6">
        <v>7.09</v>
      </c>
      <c r="B102" s="33"/>
      <c r="C102" s="33" t="s">
        <v>43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ACA</v>
      </c>
    </row>
    <row r="103" spans="1:36" ht="12.75">
      <c r="A103" s="6">
        <v>7.1</v>
      </c>
      <c r="B103" s="32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2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2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 t="s">
        <v>32</v>
      </c>
      <c r="C106" s="33" t="s">
        <v>16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ACA</v>
      </c>
    </row>
    <row r="107" spans="1:36" ht="12.75">
      <c r="A107" s="6">
        <v>7.14</v>
      </c>
      <c r="B107" s="33" t="s">
        <v>32</v>
      </c>
      <c r="C107" s="33" t="s">
        <v>16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ACA</v>
      </c>
    </row>
    <row r="108" spans="1:36" ht="12.75">
      <c r="A108" s="6">
        <v>7.15</v>
      </c>
      <c r="B108" s="33" t="s">
        <v>32</v>
      </c>
      <c r="C108" s="33" t="s">
        <v>16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ACA</v>
      </c>
    </row>
    <row r="109" spans="1:36" ht="12.75">
      <c r="A109" s="6">
        <v>7.16</v>
      </c>
      <c r="B109" s="33"/>
      <c r="C109" s="33" t="s">
        <v>45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ACA</v>
      </c>
    </row>
    <row r="110" spans="1:36" ht="12.75">
      <c r="A110" s="6">
        <v>7.17</v>
      </c>
      <c r="B110" s="33"/>
      <c r="C110" s="33" t="s">
        <v>45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ACA</v>
      </c>
    </row>
    <row r="111" spans="1:36" ht="12.75">
      <c r="A111" s="6">
        <v>7.18</v>
      </c>
      <c r="B111" s="33"/>
      <c r="C111" s="33" t="s">
        <v>45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ACA</v>
      </c>
    </row>
    <row r="112" spans="1:36" ht="12.75">
      <c r="A112" s="6">
        <v>7.19</v>
      </c>
      <c r="B112" s="33"/>
      <c r="C112" s="33" t="s">
        <v>17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ACA</v>
      </c>
    </row>
    <row r="113" spans="1:36" ht="12.75">
      <c r="A113" s="6">
        <v>7.2</v>
      </c>
      <c r="B113" s="33"/>
      <c r="C113" s="33" t="s">
        <v>17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ACA</v>
      </c>
    </row>
    <row r="114" spans="1:36" ht="12.75">
      <c r="A114" s="6">
        <v>7.21</v>
      </c>
      <c r="B114" s="33"/>
      <c r="C114" s="33" t="s">
        <v>17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ACA</v>
      </c>
    </row>
    <row r="115" spans="1:36" ht="12.75">
      <c r="A115" s="6">
        <v>7.22</v>
      </c>
      <c r="B115" s="33"/>
      <c r="C115" s="33" t="s">
        <v>17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ACA</v>
      </c>
    </row>
    <row r="116" spans="1:36" ht="12.75">
      <c r="A116" s="6">
        <v>7.23</v>
      </c>
      <c r="B116" s="33"/>
      <c r="C116" s="33" t="s">
        <v>33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ACA</v>
      </c>
    </row>
    <row r="117" spans="1:36" ht="12.75">
      <c r="A117" s="6">
        <v>7.24</v>
      </c>
      <c r="B117" s="33"/>
      <c r="C117" s="33" t="s">
        <v>33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ACA</v>
      </c>
    </row>
    <row r="118" spans="1:36" ht="12.75">
      <c r="A118" s="6">
        <v>7.25</v>
      </c>
      <c r="B118" s="33"/>
      <c r="C118" s="33" t="s">
        <v>33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ACA</v>
      </c>
    </row>
    <row r="119" spans="1:36" ht="12.75">
      <c r="A119" s="6">
        <v>7.26</v>
      </c>
      <c r="B119" s="33"/>
      <c r="C119" s="33" t="s">
        <v>33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ACA</v>
      </c>
    </row>
    <row r="120" spans="1:36" ht="12.75">
      <c r="A120" s="6">
        <v>7.27</v>
      </c>
      <c r="B120" s="33"/>
      <c r="C120" s="33" t="s">
        <v>34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ACA</v>
      </c>
    </row>
    <row r="121" spans="1:36" ht="12.75">
      <c r="A121" s="6">
        <v>7.28</v>
      </c>
      <c r="B121" s="33"/>
      <c r="C121" s="33" t="s">
        <v>34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ACA</v>
      </c>
    </row>
    <row r="122" spans="1:36" ht="12.75">
      <c r="A122" s="6">
        <v>7.29</v>
      </c>
      <c r="B122" s="33"/>
      <c r="C122" s="33" t="s">
        <v>34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ACA</v>
      </c>
    </row>
    <row r="123" spans="1:36" ht="12.75">
      <c r="A123" s="6">
        <v>7.3</v>
      </c>
      <c r="B123" s="33"/>
      <c r="C123" s="33" t="s">
        <v>34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ACA</v>
      </c>
    </row>
    <row r="124" spans="1:36" ht="12.75">
      <c r="A124" s="6">
        <v>7.31</v>
      </c>
      <c r="B124" s="32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52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ACA</v>
      </c>
    </row>
    <row r="126" spans="1:36" ht="12.75">
      <c r="A126" s="6">
        <v>8.02</v>
      </c>
      <c r="B126" s="33" t="s">
        <v>32</v>
      </c>
      <c r="C126" s="33" t="s">
        <v>52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ACA</v>
      </c>
    </row>
    <row r="127" spans="1:36" ht="12.75">
      <c r="A127" s="6">
        <v>8.0299999999999994</v>
      </c>
      <c r="B127" s="33" t="s">
        <v>32</v>
      </c>
      <c r="C127" s="33" t="s">
        <v>52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ACA</v>
      </c>
    </row>
    <row r="128" spans="1:36" ht="12.75">
      <c r="A128" s="6">
        <v>8.0399999999999991</v>
      </c>
      <c r="B128" s="33" t="s">
        <v>32</v>
      </c>
      <c r="C128" s="33" t="s">
        <v>52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ACA</v>
      </c>
    </row>
    <row r="129" spans="1:36" ht="12.75">
      <c r="A129" s="6">
        <v>8.0500000000000007</v>
      </c>
      <c r="B129" s="33" t="s">
        <v>32</v>
      </c>
      <c r="C129" s="33" t="s">
        <v>41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ACA</v>
      </c>
    </row>
    <row r="130" spans="1:36" ht="12.75">
      <c r="A130" s="6">
        <v>8.06</v>
      </c>
      <c r="B130" s="33" t="s">
        <v>32</v>
      </c>
      <c r="C130" s="33" t="s">
        <v>41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ACA</v>
      </c>
    </row>
    <row r="131" spans="1:36" ht="12.75">
      <c r="A131" s="6">
        <v>8.07</v>
      </c>
      <c r="B131" s="33" t="s">
        <v>32</v>
      </c>
      <c r="C131" s="33" t="s">
        <v>41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ACA</v>
      </c>
    </row>
    <row r="132" spans="1:36" ht="12.75">
      <c r="A132" s="6">
        <v>8.08</v>
      </c>
      <c r="B132" s="33" t="s">
        <v>32</v>
      </c>
      <c r="C132" s="33" t="s">
        <v>41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ACA</v>
      </c>
    </row>
    <row r="133" spans="1:36" ht="12.75">
      <c r="A133" s="6">
        <v>8.09</v>
      </c>
      <c r="B133" s="33" t="s">
        <v>32</v>
      </c>
      <c r="C133" s="33" t="s">
        <v>45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ACA</v>
      </c>
    </row>
    <row r="134" spans="1:36" ht="12.75">
      <c r="A134" s="6">
        <v>8.1</v>
      </c>
      <c r="B134" s="33" t="s">
        <v>32</v>
      </c>
      <c r="C134" s="33" t="s">
        <v>45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ACA</v>
      </c>
    </row>
    <row r="135" spans="1:36" ht="12.75">
      <c r="A135" s="6">
        <v>8.11</v>
      </c>
      <c r="B135" s="33" t="s">
        <v>32</v>
      </c>
      <c r="C135" s="33" t="s">
        <v>45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ACA</v>
      </c>
    </row>
    <row r="136" spans="1:36" ht="12.75">
      <c r="A136" s="6">
        <v>8.1199999999999992</v>
      </c>
      <c r="B136" s="33" t="s">
        <v>32</v>
      </c>
      <c r="C136" s="33" t="s">
        <v>45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ACA</v>
      </c>
    </row>
    <row r="137" spans="1:36" ht="12.75">
      <c r="A137" s="6">
        <v>8.1300000000000008</v>
      </c>
      <c r="B137" s="33"/>
      <c r="C137" s="33" t="s">
        <v>1917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ACA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1917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ACA</v>
      </c>
    </row>
    <row r="140" spans="1:36" ht="12.75">
      <c r="A140" s="6">
        <v>8.16</v>
      </c>
      <c r="B140" s="33"/>
      <c r="C140" s="33" t="s">
        <v>1917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ACA</v>
      </c>
    </row>
    <row r="141" spans="1:36" ht="12.75">
      <c r="A141" s="6">
        <v>8.17</v>
      </c>
      <c r="B141" s="33"/>
      <c r="C141" s="33" t="s">
        <v>1917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ACA</v>
      </c>
    </row>
    <row r="142" spans="1:36" ht="12.75">
      <c r="A142" s="6">
        <v>8.18</v>
      </c>
      <c r="B142" s="33" t="s">
        <v>32</v>
      </c>
      <c r="C142" s="33" t="s">
        <v>47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ACA</v>
      </c>
    </row>
    <row r="143" spans="1:36" ht="12.75">
      <c r="A143" s="6">
        <v>8.19</v>
      </c>
      <c r="B143" s="33" t="s">
        <v>32</v>
      </c>
      <c r="C143" s="33" t="s">
        <v>47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ACA</v>
      </c>
    </row>
    <row r="144" spans="1:36" ht="12.75">
      <c r="A144" s="6">
        <v>8.1999999999999993</v>
      </c>
      <c r="B144" s="33" t="s">
        <v>32</v>
      </c>
      <c r="C144" s="33" t="s">
        <v>47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ACA</v>
      </c>
    </row>
    <row r="145" spans="1:36" ht="12.75">
      <c r="A145" s="6">
        <v>8.2100000000000009</v>
      </c>
      <c r="B145" s="33"/>
      <c r="C145" s="33" t="s">
        <v>16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ACA</v>
      </c>
    </row>
    <row r="146" spans="1:36" ht="12.75">
      <c r="A146" s="6">
        <v>8.2200000000000006</v>
      </c>
      <c r="B146" s="33"/>
      <c r="C146" s="33" t="s">
        <v>16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ACA</v>
      </c>
    </row>
    <row r="147" spans="1:36" ht="12.75">
      <c r="A147" s="6">
        <v>8.23</v>
      </c>
      <c r="B147" s="33"/>
      <c r="C147" s="33" t="s">
        <v>16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ACA</v>
      </c>
    </row>
    <row r="148" spans="1:36" ht="12.75">
      <c r="A148" s="6">
        <v>8.24</v>
      </c>
      <c r="B148" s="33"/>
      <c r="C148" s="33" t="s">
        <v>16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ACA</v>
      </c>
    </row>
    <row r="149" spans="1:36" ht="12.75">
      <c r="A149" s="6">
        <v>8.25</v>
      </c>
      <c r="B149" s="33"/>
      <c r="C149" s="33" t="s">
        <v>48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ACA</v>
      </c>
    </row>
    <row r="150" spans="1:36" ht="12.75">
      <c r="A150" s="6">
        <v>8.26</v>
      </c>
      <c r="B150" s="33"/>
      <c r="C150" s="33" t="s">
        <v>48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ACA</v>
      </c>
    </row>
    <row r="151" spans="1:36" ht="12.75">
      <c r="A151" s="6">
        <v>8.27</v>
      </c>
      <c r="B151" s="33"/>
      <c r="C151" s="33" t="s">
        <v>48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ACA</v>
      </c>
    </row>
    <row r="152" spans="1:36" ht="12.75">
      <c r="A152" s="6">
        <v>8.2799999999999994</v>
      </c>
      <c r="B152" s="33"/>
      <c r="C152" s="33" t="s">
        <v>48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ACA</v>
      </c>
    </row>
    <row r="153" spans="1:36" ht="12.75">
      <c r="A153" s="6">
        <v>8.2899999999999991</v>
      </c>
      <c r="B153" s="33" t="s">
        <v>32</v>
      </c>
      <c r="C153" s="33" t="s">
        <v>14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ACA</v>
      </c>
    </row>
    <row r="154" spans="1:36" ht="12.75">
      <c r="A154" s="6">
        <v>8.3000000000000007</v>
      </c>
      <c r="B154" s="33" t="s">
        <v>32</v>
      </c>
      <c r="C154" s="33" t="s">
        <v>14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ACA</v>
      </c>
    </row>
    <row r="155" spans="1:36" ht="12.75">
      <c r="A155" s="6">
        <v>8.31</v>
      </c>
      <c r="B155" s="33" t="s">
        <v>32</v>
      </c>
      <c r="C155" s="33" t="s">
        <v>14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ACA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/>
      <c r="C157" s="33" t="s">
        <v>12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ACA</v>
      </c>
    </row>
    <row r="158" spans="1:36" ht="12.75">
      <c r="A158" s="6">
        <v>9.0299999999999994</v>
      </c>
      <c r="B158" s="33"/>
      <c r="C158" s="33" t="s">
        <v>12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ACA</v>
      </c>
    </row>
    <row r="159" spans="1:36" ht="12.75">
      <c r="A159" s="6">
        <v>9.0399999999999991</v>
      </c>
      <c r="B159" s="33"/>
      <c r="C159" s="33" t="s">
        <v>12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ACA</v>
      </c>
    </row>
    <row r="160" spans="1:36" ht="12.75">
      <c r="A160" s="6">
        <v>9.0500000000000007</v>
      </c>
      <c r="B160" s="33" t="s">
        <v>32</v>
      </c>
      <c r="C160" s="33" t="s">
        <v>40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ACA</v>
      </c>
    </row>
    <row r="161" spans="1:36" ht="12.75">
      <c r="A161" s="6">
        <v>9.06</v>
      </c>
      <c r="B161" s="33" t="s">
        <v>32</v>
      </c>
      <c r="C161" s="33" t="s">
        <v>40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ACA</v>
      </c>
    </row>
    <row r="162" spans="1:36" ht="12.75">
      <c r="A162" s="6">
        <v>9.07</v>
      </c>
      <c r="B162" s="33" t="s">
        <v>32</v>
      </c>
      <c r="C162" s="33" t="s">
        <v>40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ACA</v>
      </c>
    </row>
    <row r="163" spans="1:36" ht="12.75">
      <c r="A163" s="6">
        <v>9.08</v>
      </c>
      <c r="B163" s="33"/>
      <c r="C163" s="33" t="s">
        <v>55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ACA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55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ACA</v>
      </c>
    </row>
    <row r="166" spans="1:36" ht="12.75">
      <c r="A166" s="6">
        <v>9.11</v>
      </c>
      <c r="B166" s="33"/>
      <c r="C166" s="33" t="s">
        <v>55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ACA</v>
      </c>
    </row>
    <row r="167" spans="1:36" ht="12.75">
      <c r="A167" s="6">
        <v>9.1199999999999992</v>
      </c>
      <c r="B167" s="32" t="s">
        <v>32</v>
      </c>
      <c r="C167" s="33" t="s">
        <v>15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ACA</v>
      </c>
    </row>
    <row r="168" spans="1:36" ht="12.75">
      <c r="A168" s="6">
        <v>9.1300000000000008</v>
      </c>
      <c r="B168" s="32" t="s">
        <v>32</v>
      </c>
      <c r="C168" s="33" t="s">
        <v>15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ACA</v>
      </c>
    </row>
    <row r="169" spans="1:36" ht="12.75">
      <c r="A169" s="6">
        <v>9.14</v>
      </c>
      <c r="B169" s="32" t="s">
        <v>32</v>
      </c>
      <c r="C169" s="33" t="s">
        <v>15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ACA</v>
      </c>
    </row>
    <row r="170" spans="1:36" ht="12.75">
      <c r="A170" s="6">
        <v>9.15</v>
      </c>
      <c r="B170" s="32" t="s">
        <v>32</v>
      </c>
      <c r="C170" s="33" t="s">
        <v>15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ACA</v>
      </c>
    </row>
    <row r="171" spans="1:36" ht="12.75">
      <c r="A171" s="6">
        <v>9.16</v>
      </c>
      <c r="B171" s="33"/>
      <c r="C171" s="33" t="s">
        <v>52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ACA</v>
      </c>
    </row>
    <row r="172" spans="1:36" ht="12.75">
      <c r="A172" s="6">
        <v>9.17</v>
      </c>
      <c r="B172" s="33"/>
      <c r="C172" s="33" t="s">
        <v>52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ACA</v>
      </c>
    </row>
    <row r="173" spans="1:36" ht="12.75">
      <c r="A173" s="6">
        <v>9.18</v>
      </c>
      <c r="B173" s="33"/>
      <c r="C173" s="33" t="s">
        <v>52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ACA</v>
      </c>
    </row>
    <row r="174" spans="1:36" ht="12.75">
      <c r="A174" s="6">
        <v>9.19</v>
      </c>
      <c r="B174" s="33" t="s">
        <v>32</v>
      </c>
      <c r="C174" s="33" t="s">
        <v>43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ACA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 t="s">
        <v>32</v>
      </c>
      <c r="C176" s="33" t="s">
        <v>43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ACA</v>
      </c>
    </row>
    <row r="177" spans="1:36" ht="12.75">
      <c r="A177" s="6">
        <v>9.2200000000000006</v>
      </c>
      <c r="B177" s="33" t="s">
        <v>32</v>
      </c>
      <c r="C177" s="33" t="s">
        <v>43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ACA</v>
      </c>
    </row>
    <row r="178" spans="1:36" ht="12.75">
      <c r="A178" s="6">
        <v>9.23</v>
      </c>
      <c r="B178" s="33" t="s">
        <v>32</v>
      </c>
      <c r="C178" s="33" t="s">
        <v>43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ACA</v>
      </c>
    </row>
    <row r="179" spans="1:36" ht="12.75">
      <c r="A179" s="6">
        <v>9.24</v>
      </c>
      <c r="B179" s="33" t="s">
        <v>32</v>
      </c>
      <c r="C179" s="33" t="s">
        <v>46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ACA</v>
      </c>
    </row>
    <row r="180" spans="1:36" ht="12.75">
      <c r="A180" s="6">
        <v>9.25</v>
      </c>
      <c r="B180" s="33" t="s">
        <v>32</v>
      </c>
      <c r="C180" s="33" t="s">
        <v>46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ACA</v>
      </c>
    </row>
    <row r="181" spans="1:36" ht="12.75">
      <c r="A181" s="6">
        <v>9.26</v>
      </c>
      <c r="B181" s="33" t="s">
        <v>32</v>
      </c>
      <c r="C181" s="33" t="s">
        <v>46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ACA</v>
      </c>
    </row>
    <row r="182" spans="1:36" ht="12.75">
      <c r="A182" s="6">
        <v>9.27</v>
      </c>
      <c r="B182" s="33"/>
      <c r="C182" s="33" t="s">
        <v>13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ACA</v>
      </c>
    </row>
    <row r="183" spans="1:36" ht="12.75">
      <c r="A183" s="6">
        <v>9.2799999999999994</v>
      </c>
      <c r="B183" s="33"/>
      <c r="C183" s="33" t="s">
        <v>13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ACA</v>
      </c>
    </row>
    <row r="184" spans="1:36" ht="12.75">
      <c r="A184" s="6">
        <v>9.2899999999999991</v>
      </c>
      <c r="B184" s="33"/>
      <c r="C184" s="33" t="s">
        <v>13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ACA</v>
      </c>
    </row>
    <row r="185" spans="1:36" ht="12.75">
      <c r="A185" s="6">
        <v>9.3000000000000007</v>
      </c>
      <c r="B185" s="33"/>
      <c r="C185" s="33" t="s">
        <v>13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ACA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D197" s="2"/>
      <c r="K197" s="2"/>
      <c r="AJ197" s="2"/>
    </row>
    <row r="198" spans="3:36">
      <c r="C198" s="2"/>
      <c r="D198" s="2"/>
      <c r="K198" s="2"/>
      <c r="AJ198" s="2"/>
    </row>
    <row r="199" spans="3:36">
      <c r="C199" s="2"/>
      <c r="D199" s="2"/>
      <c r="K199" s="2"/>
      <c r="AJ199" s="2"/>
    </row>
    <row r="200" spans="3:36">
      <c r="C200" s="2"/>
      <c r="D200" s="2"/>
      <c r="K200" s="2"/>
      <c r="AJ200" s="2"/>
    </row>
    <row r="201" spans="3:36">
      <c r="C201" s="2"/>
      <c r="D201" s="2"/>
      <c r="K201" s="2"/>
      <c r="AJ201" s="2"/>
    </row>
    <row r="202" spans="3:36">
      <c r="C202" s="2"/>
      <c r="D202" s="2"/>
      <c r="K202" s="2"/>
      <c r="AJ202" s="2"/>
    </row>
    <row r="203" spans="3:36">
      <c r="C203" s="2"/>
      <c r="D203" s="2"/>
      <c r="K203" s="2"/>
      <c r="AJ203" s="2"/>
    </row>
    <row r="204" spans="3:36">
      <c r="C204" s="2"/>
      <c r="D204" s="2"/>
      <c r="AJ204" s="2"/>
    </row>
    <row r="205" spans="3:36">
      <c r="C205" s="2"/>
      <c r="D205" s="2"/>
      <c r="AJ205" s="2"/>
    </row>
    <row r="206" spans="3:36">
      <c r="C206" s="2"/>
      <c r="D206" s="2"/>
      <c r="AJ206" s="2"/>
    </row>
    <row r="207" spans="3:36">
      <c r="C207" s="2"/>
      <c r="D207" s="2"/>
      <c r="AJ207" s="2"/>
    </row>
    <row r="208" spans="3:36">
      <c r="C208" s="2"/>
      <c r="D208" s="2"/>
      <c r="AJ208" s="2"/>
    </row>
    <row r="209" spans="3:36">
      <c r="C209" s="2"/>
      <c r="D209" s="2"/>
      <c r="AJ209" s="2"/>
    </row>
    <row r="210" spans="3:36">
      <c r="C210" s="2"/>
      <c r="D210" s="2"/>
      <c r="AJ210" s="2"/>
    </row>
    <row r="211" spans="3:36">
      <c r="C211" s="2"/>
      <c r="D211" s="2"/>
      <c r="AJ211" s="2"/>
    </row>
    <row r="212" spans="3:36">
      <c r="C212" s="2"/>
      <c r="D212" s="2"/>
      <c r="AJ212" s="2"/>
    </row>
    <row r="213" spans="3:36">
      <c r="C213" s="2"/>
      <c r="D213" s="2"/>
      <c r="AJ213" s="2"/>
    </row>
    <row r="214" spans="3:36">
      <c r="C214" s="2"/>
      <c r="D214" s="2"/>
      <c r="AJ214" s="2"/>
    </row>
    <row r="215" spans="3:36">
      <c r="C215" s="2"/>
      <c r="D215" s="2"/>
      <c r="AJ215" s="2"/>
    </row>
    <row r="216" spans="3:36">
      <c r="C216" s="2"/>
      <c r="D216" s="2"/>
      <c r="AJ216" s="2"/>
    </row>
    <row r="217" spans="3:36">
      <c r="C217" s="2"/>
      <c r="D217" s="2"/>
      <c r="AJ217" s="2"/>
    </row>
    <row r="218" spans="3:36">
      <c r="D218" s="2"/>
    </row>
    <row r="219" spans="3:36">
      <c r="D219" s="2"/>
    </row>
    <row r="220" spans="3:36">
      <c r="D220" s="2"/>
    </row>
    <row r="221" spans="3:36">
      <c r="D221" s="2"/>
    </row>
    <row r="222" spans="3:36">
      <c r="D222" s="2"/>
    </row>
    <row r="223" spans="3:36">
      <c r="D223" s="2"/>
    </row>
    <row r="224" spans="3:36">
      <c r="D224" s="2"/>
    </row>
    <row r="225" spans="4:4">
      <c r="D225" s="2"/>
    </row>
  </sheetData>
  <phoneticPr fontId="0" type="noConversion"/>
  <conditionalFormatting sqref="AG3:AH22 AK3:AK22">
    <cfRule type="cellIs" dxfId="8388" priority="761" stopIfTrue="1" operator="equal">
      <formula>"must average at least 5 innings per start"</formula>
    </cfRule>
  </conditionalFormatting>
  <conditionalFormatting sqref="AG23:AH23 AK23">
    <cfRule type="cellIs" dxfId="8387" priority="762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86" priority="763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8385" priority="764" stopIfTrue="1" operator="equal">
      <formula>"input a different starter in column C"</formula>
    </cfRule>
  </conditionalFormatting>
  <conditionalFormatting sqref="Q2">
    <cfRule type="cellIs" dxfId="8384" priority="417" stopIfTrue="1" operator="equal">
      <formula>"ROTATION FAILED"</formula>
    </cfRule>
  </conditionalFormatting>
  <conditionalFormatting sqref="P3">
    <cfRule type="cellIs" dxfId="8383" priority="384" stopIfTrue="1" operator="equal">
      <formula>"input starter in column D"</formula>
    </cfRule>
  </conditionalFormatting>
  <conditionalFormatting sqref="P4">
    <cfRule type="cellIs" dxfId="8382" priority="383" stopIfTrue="1" operator="equal">
      <formula>"input starter in column D"</formula>
    </cfRule>
  </conditionalFormatting>
  <conditionalFormatting sqref="P5:P6 P8:P11 P13:P16 P18:P21 P23:P26 P28:P31 P33:P40 P42:P47 P49:P54 P56:P61 P63:P69 P71:P82 P84:P89 P91:P102 P106:P123 P125:P137 P139:P155 P157:P163 P165:P174 P176:P185">
    <cfRule type="cellIs" dxfId="8381" priority="382" stopIfTrue="1" operator="equal">
      <formula>"INPUT STARTER IN COLUMN D"</formula>
    </cfRule>
  </conditionalFormatting>
  <hyperlinks>
    <hyperlink ref="V14" r:id="rId1" display="http://www.obaks.com/kading/08ont.html"/>
    <hyperlink ref="V4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0676" divId="ROTcheck_20676" sourceType="sheet" destinationFile="C:\1kading\schedule\skedwll.html"/>
    <webPublishItem id="2815" divId="ROTcheck_2815" sourceType="range" sourceRef="A1:O193" destinationFile="C:\1kading\schedule\skedwll.html"/>
    <webPublishItem id="5972" divId="ROTcheck_5972" sourceType="range" sourceRef="A156:O185" destinationFile="C:\1kading\schedule\skedwll.html"/>
  </webPublishItems>
</worksheet>
</file>

<file path=xl/worksheets/sheet10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2" customWidth="1"/>
    <col min="2" max="2" width="3.7109375" style="2" customWidth="1"/>
    <col min="3" max="3" width="5.85546875" style="2" customWidth="1"/>
    <col min="4" max="4" width="28.425781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19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42578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56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2" t="s">
        <v>32</v>
      </c>
      <c r="C3" s="33" t="s">
        <v>53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40" t="s">
        <v>297</v>
      </c>
      <c r="T3" s="46" t="str">
        <f>IF(ISERROR((VLOOKUP(S3,Pitchers!$B$1:H$800,4,FALSE))),"",(VLOOKUP(S3,Pitchers!$B$1:H$800,4,FALSE)))</f>
        <v>TOT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9</v>
      </c>
      <c r="X3" s="47">
        <f>IF(ISERROR((VLOOKUP(S3,Pitchers!B$2:AA$795,11,FALSE))),"",(VLOOKUP(S3,Pitchers!B$2:AA$795,11,FALSE)))</f>
        <v>176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GRZ</v>
      </c>
    </row>
    <row r="4" spans="1:36" ht="12.75" customHeight="1">
      <c r="A4" s="6">
        <v>4.0199999999999996</v>
      </c>
      <c r="B4" s="32" t="s">
        <v>32</v>
      </c>
      <c r="C4" s="33" t="s">
        <v>53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40" t="s">
        <v>1331</v>
      </c>
      <c r="T4" s="46" t="str">
        <f>IF(ISERROR((VLOOKUP(S4,Pitchers!$B$1:H$800,4,FALSE))),"",(VLOOKUP(S4,Pitchers!$B$1:H$800,4,FALSE)))</f>
        <v>TOT</v>
      </c>
      <c r="U4" s="45" t="str">
        <f>IF(ISERROR((VLOOKUP(S4,Pitchers!B$2:AA$795,10,FALSE))),"",(VLOOKUP(S4,Pitchers!B$2:AA$795,10,FALSE)))</f>
        <v>L</v>
      </c>
      <c r="V4" s="41"/>
      <c r="W4" s="46">
        <f>IF(ISERROR((VLOOKUP(S4,Pitchers!B$2:AA$795,13,FALSE))),"",(VLOOKUP(S4,Pitchers!B$2:AA$795,13,FALSE)))</f>
        <v>9</v>
      </c>
      <c r="X4" s="47">
        <f>IF(ISERROR((VLOOKUP(S4,Pitchers!B$2:AA$795,11,FALSE))),"",(VLOOKUP(S4,Pitchers!B$2:AA$795,11,FALSE)))</f>
        <v>21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X</v>
      </c>
      <c r="AC4" s="52" t="str">
        <f>IF(ISERROR((VLOOKUP(S4,Pitchers!B$2:AA$795,17,FALSE))),"",(VLOOKUP(S4,Pitchers!B$2:AA$795,17,FALSE)))</f>
        <v>W</v>
      </c>
      <c r="AD4" s="53" t="str">
        <f>IF(ISERROR((VLOOKUP(S4,Pitchers!B$2:AA$795,18,FALSE))),"",(VLOOKUP(S4,Pitchers!B$2:AA$795,18,FALSE)))</f>
        <v>L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GRZ</v>
      </c>
    </row>
    <row r="5" spans="1:36" ht="12.75" customHeight="1">
      <c r="A5" s="6">
        <v>4.03</v>
      </c>
      <c r="B5" s="32" t="s">
        <v>32</v>
      </c>
      <c r="C5" s="33" t="s">
        <v>53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40" t="s">
        <v>447</v>
      </c>
      <c r="T5" s="46" t="str">
        <f>IF(ISERROR((VLOOKUP(S5,Pitchers!$B$1:H$800,4,FALSE))),"",(VLOOKUP(S5,Pitchers!$B$1:H$800,4,FALSE)))</f>
        <v>MIA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8</v>
      </c>
      <c r="X5" s="47">
        <f>IF(ISERROR((VLOOKUP(S5,Pitchers!B$2:AA$795,11,FALSE))),"",(VLOOKUP(S5,Pitchers!B$2:AA$795,11,FALSE)))</f>
        <v>185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>W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GRZ</v>
      </c>
    </row>
    <row r="6" spans="1:36" ht="12.75" customHeight="1">
      <c r="A6" s="6">
        <v>4.04</v>
      </c>
      <c r="B6" s="32" t="s">
        <v>32</v>
      </c>
      <c r="C6" s="33" t="s">
        <v>53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40" t="s">
        <v>1404</v>
      </c>
      <c r="T6" s="46" t="str">
        <f>IF(ISERROR((VLOOKUP(S6,Pitchers!$B$1:H$800,4,FALSE))),"",(VLOOKUP(S6,Pitchers!$B$1:H$800,4,FALSE)))</f>
        <v>ARI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8</v>
      </c>
      <c r="X6" s="47">
        <f>IF(ISERROR((VLOOKUP(S6,Pitchers!B$2:AA$795,11,FALSE))),"",(VLOOKUP(S6,Pitchers!B$2:AA$795,11,FALSE)))</f>
        <v>128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>G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GRZ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40" t="s">
        <v>239</v>
      </c>
      <c r="T7" s="46" t="str">
        <f>IF(ISERROR((VLOOKUP(S7,Pitchers!$B$1:H$800,4,FALSE))),"",(VLOOKUP(S7,Pitchers!$B$1:H$800,4,FALSE)))</f>
        <v>MIA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5</v>
      </c>
      <c r="X7" s="47">
        <f>IF(ISERROR((VLOOKUP(S7,Pitchers!B$2:AA$795,11,FALSE))),"",(VLOOKUP(S7,Pitchers!B$2:AA$795,11,FALSE)))</f>
        <v>66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>W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2" t="s">
        <v>32</v>
      </c>
      <c r="C8" s="33" t="s">
        <v>13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40" t="s">
        <v>435</v>
      </c>
      <c r="T8" s="46" t="str">
        <f>IF(ISERROR((VLOOKUP(S8,Pitchers!$B$1:H$800,4,FALSE))),"",(VLOOKUP(S8,Pitchers!$B$1:H$800,4,FALSE)))</f>
        <v>SDP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169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>X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>L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GRZ</v>
      </c>
    </row>
    <row r="9" spans="1:36" ht="12.75">
      <c r="A9" s="6">
        <v>4.07</v>
      </c>
      <c r="B9" s="32" t="s">
        <v>32</v>
      </c>
      <c r="C9" s="33" t="s">
        <v>13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40" t="s">
        <v>604</v>
      </c>
      <c r="T9" s="46" t="str">
        <f>IF(ISERROR((VLOOKUP(S9,Pitchers!$B$1:H$800,4,FALSE))),"",(VLOOKUP(S9,Pitchers!$B$1:H$800,4,FALSE)))</f>
        <v>COL</v>
      </c>
      <c r="U9" s="45" t="str">
        <f>IF(ISERROR((VLOOKUP(S9,Pitchers!B$2:AA$795,10,FALSE))),"",(VLOOKUP(S9,Pitchers!B$2:AA$795,10,FALSE)))</f>
        <v>L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125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GRZ</v>
      </c>
    </row>
    <row r="10" spans="1:36" ht="12.75">
      <c r="A10" s="6">
        <v>4.08</v>
      </c>
      <c r="B10" s="32" t="s">
        <v>32</v>
      </c>
      <c r="C10" s="33" t="s">
        <v>13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40" t="s">
        <v>1481</v>
      </c>
      <c r="T10" s="46" t="str">
        <f>IF(ISERROR((VLOOKUP(S10,Pitchers!$B$1:H$800,4,FALSE))),"",(VLOOKUP(S10,Pitchers!$B$1:H$800,4,FALSE)))</f>
        <v>PHI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1</v>
      </c>
      <c r="X10" s="47">
        <f>IF(ISERROR((VLOOKUP(S10,Pitchers!B$2:AA$795,11,FALSE))),"",(VLOOKUP(S10,Pitchers!B$2:AA$795,11,FALSE)))</f>
        <v>200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>M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GRZ</v>
      </c>
    </row>
    <row r="11" spans="1:36" ht="12.75">
      <c r="A11" s="6">
        <v>4.09</v>
      </c>
      <c r="B11" s="32" t="s">
        <v>32</v>
      </c>
      <c r="C11" s="33" t="s">
        <v>13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43"/>
      <c r="T11" s="46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GRZ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6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1919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GRZ</v>
      </c>
    </row>
    <row r="14" spans="1:36" ht="12.75">
      <c r="A14" s="6">
        <v>4.12</v>
      </c>
      <c r="B14" s="32" t="s">
        <v>32</v>
      </c>
      <c r="C14" s="33" t="s">
        <v>1919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GRZ</v>
      </c>
    </row>
    <row r="15" spans="1:36" ht="12.75">
      <c r="A15" s="6">
        <v>4.13</v>
      </c>
      <c r="B15" s="32" t="s">
        <v>32</v>
      </c>
      <c r="C15" s="33" t="s">
        <v>1919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GRZ</v>
      </c>
    </row>
    <row r="16" spans="1:36" ht="12.75">
      <c r="A16" s="6">
        <v>4.1399999999999997</v>
      </c>
      <c r="B16" s="32" t="s">
        <v>32</v>
      </c>
      <c r="C16" s="33" t="s">
        <v>1919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GRZ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43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GRZ</v>
      </c>
    </row>
    <row r="19" spans="1:36" ht="12.75">
      <c r="A19" s="6">
        <v>4.17</v>
      </c>
      <c r="B19" s="33"/>
      <c r="C19" s="33" t="s">
        <v>43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GRZ</v>
      </c>
    </row>
    <row r="20" spans="1:36" ht="12.75">
      <c r="A20" s="6">
        <v>4.18</v>
      </c>
      <c r="B20" s="33"/>
      <c r="C20" s="33" t="s">
        <v>43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GRZ</v>
      </c>
    </row>
    <row r="21" spans="1:36" ht="12.75">
      <c r="A21" s="6">
        <v>4.1900000000000004</v>
      </c>
      <c r="B21" s="33"/>
      <c r="C21" s="33" t="s">
        <v>43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GRZ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2" t="s">
        <v>32</v>
      </c>
      <c r="C23" s="33" t="s">
        <v>16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GRZ</v>
      </c>
    </row>
    <row r="24" spans="1:36" ht="12.75">
      <c r="A24" s="6">
        <v>4.22</v>
      </c>
      <c r="B24" s="32" t="s">
        <v>32</v>
      </c>
      <c r="C24" s="33" t="s">
        <v>16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GRZ</v>
      </c>
    </row>
    <row r="25" spans="1:36" ht="12.75">
      <c r="A25" s="6">
        <v>4.2300000000000004</v>
      </c>
      <c r="B25" s="32" t="s">
        <v>32</v>
      </c>
      <c r="C25" s="33" t="s">
        <v>16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GRZ</v>
      </c>
    </row>
    <row r="26" spans="1:36" ht="12.75">
      <c r="A26" s="6">
        <v>4.24</v>
      </c>
      <c r="B26" s="32" t="s">
        <v>32</v>
      </c>
      <c r="C26" s="33" t="s">
        <v>16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GRZ</v>
      </c>
    </row>
    <row r="27" spans="1:36" ht="12.75">
      <c r="A27" s="6">
        <v>4.25</v>
      </c>
      <c r="B27" s="32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2" t="s">
        <v>32</v>
      </c>
      <c r="C28" s="33" t="s">
        <v>44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GRZ</v>
      </c>
    </row>
    <row r="29" spans="1:36" ht="12.75">
      <c r="A29" s="6">
        <v>4.2699999999999996</v>
      </c>
      <c r="B29" s="32" t="s">
        <v>32</v>
      </c>
      <c r="C29" s="33" t="s">
        <v>44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GRZ</v>
      </c>
    </row>
    <row r="30" spans="1:36" ht="12.75">
      <c r="A30" s="6">
        <v>4.28</v>
      </c>
      <c r="B30" s="32" t="s">
        <v>32</v>
      </c>
      <c r="C30" s="33" t="s">
        <v>44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GRZ</v>
      </c>
    </row>
    <row r="31" spans="1:36" ht="12.75">
      <c r="A31" s="6">
        <v>4.29</v>
      </c>
      <c r="B31" s="32" t="s">
        <v>32</v>
      </c>
      <c r="C31" s="33" t="s">
        <v>44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GRZ</v>
      </c>
    </row>
    <row r="32" spans="1:36" ht="12.75">
      <c r="A32" s="6">
        <v>4.3</v>
      </c>
      <c r="B32" s="32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2" t="s">
        <v>32</v>
      </c>
      <c r="C33" s="33" t="s">
        <v>52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GRZ</v>
      </c>
    </row>
    <row r="34" spans="1:36" ht="12.75">
      <c r="A34" s="6">
        <v>5.0199999999999996</v>
      </c>
      <c r="B34" s="32" t="s">
        <v>32</v>
      </c>
      <c r="C34" s="33" t="s">
        <v>52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GRZ</v>
      </c>
    </row>
    <row r="35" spans="1:36" ht="12.75">
      <c r="A35" s="6">
        <v>5.03</v>
      </c>
      <c r="B35" s="32" t="s">
        <v>32</v>
      </c>
      <c r="C35" s="33" t="s">
        <v>52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GRZ</v>
      </c>
    </row>
    <row r="36" spans="1:36" ht="12.75">
      <c r="A36" s="6">
        <v>5.04</v>
      </c>
      <c r="B36" s="32" t="s">
        <v>32</v>
      </c>
      <c r="C36" s="33" t="s">
        <v>52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GRZ</v>
      </c>
    </row>
    <row r="37" spans="1:36" ht="12.75">
      <c r="A37" s="6">
        <v>5.05</v>
      </c>
      <c r="B37" s="33"/>
      <c r="C37" s="33" t="s">
        <v>1917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GRZ</v>
      </c>
    </row>
    <row r="38" spans="1:36" ht="12.75">
      <c r="A38" s="6">
        <v>5.0599999999999996</v>
      </c>
      <c r="B38" s="33"/>
      <c r="C38" s="33" t="s">
        <v>1917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GRZ</v>
      </c>
    </row>
    <row r="39" spans="1:36" ht="12.75">
      <c r="A39" s="6">
        <v>5.07</v>
      </c>
      <c r="B39" s="33"/>
      <c r="C39" s="33" t="s">
        <v>1917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GRZ</v>
      </c>
    </row>
    <row r="40" spans="1:36" ht="12.75">
      <c r="A40" s="6">
        <v>5.08</v>
      </c>
      <c r="B40" s="33"/>
      <c r="C40" s="33" t="s">
        <v>1917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GRZ</v>
      </c>
    </row>
    <row r="41" spans="1:36" ht="12.75">
      <c r="A41" s="6">
        <v>5.09</v>
      </c>
      <c r="B41" s="32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2" t="s">
        <v>32</v>
      </c>
      <c r="C42" s="33" t="s">
        <v>47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GRZ</v>
      </c>
    </row>
    <row r="43" spans="1:36" ht="12.75">
      <c r="A43" s="6">
        <v>5.1100000000000003</v>
      </c>
      <c r="B43" s="32" t="s">
        <v>32</v>
      </c>
      <c r="C43" s="33" t="s">
        <v>47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GRZ</v>
      </c>
    </row>
    <row r="44" spans="1:36" ht="12.75">
      <c r="A44" s="6">
        <v>5.12</v>
      </c>
      <c r="B44" s="32" t="s">
        <v>32</v>
      </c>
      <c r="C44" s="33" t="s">
        <v>47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GRZ</v>
      </c>
    </row>
    <row r="45" spans="1:36" ht="12.75">
      <c r="A45" s="6">
        <v>5.13</v>
      </c>
      <c r="B45" s="32" t="s">
        <v>32</v>
      </c>
      <c r="C45" s="33" t="s">
        <v>47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GRZ</v>
      </c>
    </row>
    <row r="46" spans="1:36" ht="12.75">
      <c r="A46" s="6">
        <v>5.14</v>
      </c>
      <c r="B46" s="33"/>
      <c r="C46" s="33" t="s">
        <v>15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GRZ</v>
      </c>
    </row>
    <row r="47" spans="1:36" ht="12.75">
      <c r="A47" s="6">
        <v>5.15</v>
      </c>
      <c r="B47" s="33"/>
      <c r="C47" s="33" t="s">
        <v>15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GRZ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/>
      <c r="C49" s="33" t="s">
        <v>15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GRZ</v>
      </c>
    </row>
    <row r="50" spans="1:36" ht="12.75">
      <c r="A50" s="6">
        <v>5.18</v>
      </c>
      <c r="B50" s="33"/>
      <c r="C50" s="33" t="s">
        <v>15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GRZ</v>
      </c>
    </row>
    <row r="51" spans="1:36" ht="12.75">
      <c r="A51" s="6">
        <v>5.19</v>
      </c>
      <c r="B51" s="32" t="s">
        <v>32</v>
      </c>
      <c r="C51" s="33" t="s">
        <v>17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GRZ</v>
      </c>
    </row>
    <row r="52" spans="1:36" ht="12.75">
      <c r="A52" s="6">
        <v>5.2</v>
      </c>
      <c r="B52" s="32" t="s">
        <v>32</v>
      </c>
      <c r="C52" s="33" t="s">
        <v>17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GRZ</v>
      </c>
    </row>
    <row r="53" spans="1:36" ht="12.75">
      <c r="A53" s="6">
        <v>5.21</v>
      </c>
      <c r="B53" s="32" t="s">
        <v>32</v>
      </c>
      <c r="C53" s="33" t="s">
        <v>17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GRZ</v>
      </c>
    </row>
    <row r="54" spans="1:36" ht="12.75">
      <c r="A54" s="6">
        <v>5.22</v>
      </c>
      <c r="B54" s="32" t="s">
        <v>32</v>
      </c>
      <c r="C54" s="33" t="s">
        <v>17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GRZ</v>
      </c>
    </row>
    <row r="55" spans="1:36" ht="12.75">
      <c r="A55" s="6">
        <v>5.23</v>
      </c>
      <c r="B55" s="32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/>
      <c r="C56" s="33" t="s">
        <v>39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GRZ</v>
      </c>
    </row>
    <row r="57" spans="1:36" ht="12.75">
      <c r="A57" s="6">
        <v>5.25</v>
      </c>
      <c r="B57" s="33"/>
      <c r="C57" s="33" t="s">
        <v>39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GRZ</v>
      </c>
    </row>
    <row r="58" spans="1:36" ht="12.75">
      <c r="A58" s="6">
        <v>5.26</v>
      </c>
      <c r="B58" s="33"/>
      <c r="C58" s="33" t="s">
        <v>39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GRZ</v>
      </c>
    </row>
    <row r="59" spans="1:36" ht="12.75">
      <c r="A59" s="6">
        <v>5.27</v>
      </c>
      <c r="B59" s="33"/>
      <c r="C59" s="33" t="s">
        <v>39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GRZ</v>
      </c>
    </row>
    <row r="60" spans="1:36" ht="12.75">
      <c r="A60" s="6">
        <v>5.28</v>
      </c>
      <c r="B60" s="32" t="s">
        <v>32</v>
      </c>
      <c r="C60" s="33" t="s">
        <v>51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GRZ</v>
      </c>
    </row>
    <row r="61" spans="1:36" ht="12.75">
      <c r="A61" s="6">
        <v>5.29</v>
      </c>
      <c r="B61" s="32" t="s">
        <v>32</v>
      </c>
      <c r="C61" s="33" t="s">
        <v>51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GRZ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2" t="s">
        <v>32</v>
      </c>
      <c r="C63" s="33" t="s">
        <v>51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GRZ</v>
      </c>
    </row>
    <row r="64" spans="1:36" ht="12.75">
      <c r="A64" s="6">
        <v>6.01</v>
      </c>
      <c r="B64" s="32" t="s">
        <v>32</v>
      </c>
      <c r="C64" s="33" t="s">
        <v>48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GRZ</v>
      </c>
    </row>
    <row r="65" spans="1:36" ht="12.75">
      <c r="A65" s="6">
        <v>6.02</v>
      </c>
      <c r="B65" s="32" t="s">
        <v>32</v>
      </c>
      <c r="C65" s="33" t="s">
        <v>48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GRZ</v>
      </c>
    </row>
    <row r="66" spans="1:36" ht="12.75">
      <c r="A66" s="6">
        <v>6.03</v>
      </c>
      <c r="B66" s="32" t="s">
        <v>32</v>
      </c>
      <c r="C66" s="33" t="s">
        <v>48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GRZ</v>
      </c>
    </row>
    <row r="67" spans="1:36" ht="12.75">
      <c r="A67" s="6">
        <v>6.04</v>
      </c>
      <c r="B67" s="32" t="s">
        <v>32</v>
      </c>
      <c r="C67" s="33" t="s">
        <v>48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GRZ</v>
      </c>
    </row>
    <row r="68" spans="1:36" ht="12.75">
      <c r="A68" s="6">
        <v>6.05</v>
      </c>
      <c r="B68" s="33"/>
      <c r="C68" s="33" t="s">
        <v>33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GRZ</v>
      </c>
    </row>
    <row r="69" spans="1:36" ht="12.75">
      <c r="A69" s="6">
        <v>6.06</v>
      </c>
      <c r="B69" s="33"/>
      <c r="C69" s="33" t="s">
        <v>33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GRZ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3"/>
      <c r="C71" s="33" t="s">
        <v>33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GRZ</v>
      </c>
    </row>
    <row r="72" spans="1:36" ht="12.75">
      <c r="A72" s="6">
        <v>6.09</v>
      </c>
      <c r="B72" s="33"/>
      <c r="C72" s="33" t="s">
        <v>33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GRZ</v>
      </c>
    </row>
    <row r="73" spans="1:36" ht="12.75">
      <c r="A73" s="6">
        <v>6.1</v>
      </c>
      <c r="B73" s="33"/>
      <c r="C73" s="33" t="s">
        <v>45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GRZ</v>
      </c>
    </row>
    <row r="74" spans="1:36" ht="12.75">
      <c r="A74" s="6">
        <v>6.11</v>
      </c>
      <c r="B74" s="33"/>
      <c r="C74" s="33" t="s">
        <v>45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GRZ</v>
      </c>
    </row>
    <row r="75" spans="1:36" ht="12.75">
      <c r="A75" s="6">
        <v>6.12</v>
      </c>
      <c r="B75" s="33"/>
      <c r="C75" s="33" t="s">
        <v>45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GRZ</v>
      </c>
    </row>
    <row r="76" spans="1:36" ht="12.75">
      <c r="A76" s="6">
        <v>6.13</v>
      </c>
      <c r="B76" s="33"/>
      <c r="C76" s="33" t="s">
        <v>45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GRZ</v>
      </c>
    </row>
    <row r="77" spans="1:36" ht="12.75">
      <c r="A77" s="6">
        <v>6.14</v>
      </c>
      <c r="B77" s="33"/>
      <c r="C77" s="33" t="s">
        <v>41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GRZ</v>
      </c>
    </row>
    <row r="78" spans="1:36" ht="12.75">
      <c r="A78" s="6">
        <v>6.15</v>
      </c>
      <c r="B78" s="33"/>
      <c r="C78" s="33" t="s">
        <v>41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GRZ</v>
      </c>
    </row>
    <row r="79" spans="1:36" ht="12.75">
      <c r="A79" s="6">
        <v>6.16</v>
      </c>
      <c r="B79" s="33"/>
      <c r="C79" s="33" t="s">
        <v>41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GRZ</v>
      </c>
    </row>
    <row r="80" spans="1:36" ht="12.75">
      <c r="A80" s="6">
        <v>6.17</v>
      </c>
      <c r="B80" s="33"/>
      <c r="C80" s="33" t="s">
        <v>41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GRZ</v>
      </c>
    </row>
    <row r="81" spans="1:36" ht="12.75">
      <c r="A81" s="6">
        <v>6.18</v>
      </c>
      <c r="B81" s="34"/>
      <c r="C81" s="33" t="s">
        <v>12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GRZ</v>
      </c>
    </row>
    <row r="82" spans="1:36" ht="12.75">
      <c r="A82" s="6">
        <v>6.19</v>
      </c>
      <c r="B82" s="34"/>
      <c r="C82" s="33" t="s">
        <v>12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GRZ</v>
      </c>
    </row>
    <row r="83" spans="1:36" ht="12.75">
      <c r="A83" s="6">
        <v>6.2</v>
      </c>
      <c r="B83" s="34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4"/>
      <c r="C84" s="33" t="s">
        <v>12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GRZ</v>
      </c>
    </row>
    <row r="85" spans="1:36" ht="12.75">
      <c r="A85" s="6">
        <v>6.22</v>
      </c>
      <c r="B85" s="34"/>
      <c r="C85" s="33" t="s">
        <v>12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GRZ</v>
      </c>
    </row>
    <row r="86" spans="1:36" ht="12.75">
      <c r="A86" s="6">
        <v>6.23</v>
      </c>
      <c r="B86" s="32" t="s">
        <v>32</v>
      </c>
      <c r="C86" s="33" t="s">
        <v>34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GRZ</v>
      </c>
    </row>
    <row r="87" spans="1:36" ht="12.75">
      <c r="A87" s="6">
        <v>6.24</v>
      </c>
      <c r="B87" s="32" t="s">
        <v>32</v>
      </c>
      <c r="C87" s="33" t="s">
        <v>34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GRZ</v>
      </c>
    </row>
    <row r="88" spans="1:36" ht="12.75">
      <c r="A88" s="6">
        <v>6.25</v>
      </c>
      <c r="B88" s="32" t="s">
        <v>32</v>
      </c>
      <c r="C88" s="33" t="s">
        <v>34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GRZ</v>
      </c>
    </row>
    <row r="89" spans="1:36" ht="12.75">
      <c r="A89" s="6">
        <v>6.26</v>
      </c>
      <c r="B89" s="32" t="s">
        <v>32</v>
      </c>
      <c r="C89" s="33" t="s">
        <v>34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GRZ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2.75">
      <c r="A91" s="6">
        <v>6.28</v>
      </c>
      <c r="B91" s="33"/>
      <c r="C91" s="33" t="s">
        <v>55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GRZ</v>
      </c>
    </row>
    <row r="92" spans="1:36" ht="12.75">
      <c r="A92" s="6">
        <v>6.29</v>
      </c>
      <c r="B92" s="33"/>
      <c r="C92" s="33" t="s">
        <v>55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GRZ</v>
      </c>
    </row>
    <row r="93" spans="1:36" ht="12.75">
      <c r="A93" s="6">
        <v>6.3</v>
      </c>
      <c r="B93" s="33"/>
      <c r="C93" s="33" t="s">
        <v>55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GRZ</v>
      </c>
    </row>
    <row r="94" spans="1:36" ht="12.75">
      <c r="A94" s="6">
        <v>7.01</v>
      </c>
      <c r="B94" s="33"/>
      <c r="C94" s="33" t="s">
        <v>35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GRZ</v>
      </c>
    </row>
    <row r="95" spans="1:36" ht="12.75">
      <c r="A95" s="6">
        <v>7.02</v>
      </c>
      <c r="B95" s="33"/>
      <c r="C95" s="33" t="s">
        <v>35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GRZ</v>
      </c>
    </row>
    <row r="96" spans="1:36" ht="12.75">
      <c r="A96" s="6">
        <v>7.03</v>
      </c>
      <c r="B96" s="33"/>
      <c r="C96" s="33" t="s">
        <v>35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GRZ</v>
      </c>
    </row>
    <row r="97" spans="1:36" ht="12.75">
      <c r="A97" s="6">
        <v>7.04</v>
      </c>
      <c r="B97" s="32" t="s">
        <v>32</v>
      </c>
      <c r="C97" s="33" t="s">
        <v>54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GRZ</v>
      </c>
    </row>
    <row r="98" spans="1:36" ht="12.75">
      <c r="A98" s="6">
        <v>7.05</v>
      </c>
      <c r="B98" s="32" t="s">
        <v>32</v>
      </c>
      <c r="C98" s="33" t="s">
        <v>54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GRZ</v>
      </c>
    </row>
    <row r="99" spans="1:36" ht="12.75">
      <c r="A99" s="6">
        <v>7.06</v>
      </c>
      <c r="B99" s="32" t="s">
        <v>32</v>
      </c>
      <c r="C99" s="33" t="s">
        <v>54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GRZ</v>
      </c>
    </row>
    <row r="100" spans="1:36" ht="12.75">
      <c r="A100" s="6">
        <v>7.07</v>
      </c>
      <c r="B100" s="32"/>
      <c r="C100" s="33" t="s">
        <v>40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GRZ</v>
      </c>
    </row>
    <row r="101" spans="1:36" ht="12.75">
      <c r="A101" s="6">
        <v>7.08</v>
      </c>
      <c r="B101" s="32"/>
      <c r="C101" s="33" t="s">
        <v>40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GRZ</v>
      </c>
    </row>
    <row r="102" spans="1:36" ht="12.75">
      <c r="A102" s="6">
        <v>7.09</v>
      </c>
      <c r="B102" s="32"/>
      <c r="C102" s="33" t="s">
        <v>40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GRZ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2" t="s">
        <v>32</v>
      </c>
      <c r="C106" s="33" t="s">
        <v>49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GRZ</v>
      </c>
    </row>
    <row r="107" spans="1:36" ht="12.75">
      <c r="A107" s="6">
        <v>7.14</v>
      </c>
      <c r="B107" s="32" t="s">
        <v>32</v>
      </c>
      <c r="C107" s="33" t="s">
        <v>49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GRZ</v>
      </c>
    </row>
    <row r="108" spans="1:36" ht="12.75">
      <c r="A108" s="6">
        <v>7.15</v>
      </c>
      <c r="B108" s="32" t="s">
        <v>32</v>
      </c>
      <c r="C108" s="33" t="s">
        <v>49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GRZ</v>
      </c>
    </row>
    <row r="109" spans="1:36" ht="12.75">
      <c r="A109" s="6">
        <v>7.16</v>
      </c>
      <c r="B109" s="32" t="s">
        <v>32</v>
      </c>
      <c r="C109" s="33" t="s">
        <v>42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GRZ</v>
      </c>
    </row>
    <row r="110" spans="1:36" ht="12.75">
      <c r="A110" s="6">
        <v>7.17</v>
      </c>
      <c r="B110" s="32" t="s">
        <v>32</v>
      </c>
      <c r="C110" s="33" t="s">
        <v>42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GRZ</v>
      </c>
    </row>
    <row r="111" spans="1:36" ht="12.75">
      <c r="A111" s="6">
        <v>7.18</v>
      </c>
      <c r="B111" s="32" t="s">
        <v>32</v>
      </c>
      <c r="C111" s="33" t="s">
        <v>42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GRZ</v>
      </c>
    </row>
    <row r="112" spans="1:36" ht="12.75">
      <c r="A112" s="6">
        <v>7.19</v>
      </c>
      <c r="B112" s="34"/>
      <c r="C112" s="33" t="s">
        <v>1918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GRZ</v>
      </c>
    </row>
    <row r="113" spans="1:36" ht="12.75">
      <c r="A113" s="6">
        <v>7.2</v>
      </c>
      <c r="B113" s="34"/>
      <c r="C113" s="33" t="s">
        <v>1918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GRZ</v>
      </c>
    </row>
    <row r="114" spans="1:36" ht="12.75">
      <c r="A114" s="6">
        <v>7.21</v>
      </c>
      <c r="B114" s="34"/>
      <c r="C114" s="33" t="s">
        <v>1918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GRZ</v>
      </c>
    </row>
    <row r="115" spans="1:36" ht="12.75">
      <c r="A115" s="6">
        <v>7.22</v>
      </c>
      <c r="B115" s="34"/>
      <c r="C115" s="33" t="s">
        <v>1918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GRZ</v>
      </c>
    </row>
    <row r="116" spans="1:36" ht="12.75">
      <c r="A116" s="6">
        <v>7.23</v>
      </c>
      <c r="B116" s="33"/>
      <c r="C116" s="33" t="s">
        <v>1191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GRZ</v>
      </c>
    </row>
    <row r="117" spans="1:36" ht="12.75">
      <c r="A117" s="6">
        <v>7.24</v>
      </c>
      <c r="B117" s="33"/>
      <c r="C117" s="33" t="s">
        <v>1191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GRZ</v>
      </c>
    </row>
    <row r="118" spans="1:36" ht="12.75">
      <c r="A118" s="6">
        <v>7.25</v>
      </c>
      <c r="B118" s="33"/>
      <c r="C118" s="33" t="s">
        <v>1191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GRZ</v>
      </c>
    </row>
    <row r="119" spans="1:36" ht="12.75">
      <c r="A119" s="6">
        <v>7.26</v>
      </c>
      <c r="B119" s="33"/>
      <c r="C119" s="33" t="s">
        <v>1191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GRZ</v>
      </c>
    </row>
    <row r="120" spans="1:36" ht="12.75">
      <c r="A120" s="6">
        <v>7.27</v>
      </c>
      <c r="B120" s="32" t="s">
        <v>32</v>
      </c>
      <c r="C120" s="33" t="s">
        <v>46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GRZ</v>
      </c>
    </row>
    <row r="121" spans="1:36" ht="12.75">
      <c r="A121" s="6">
        <v>7.28</v>
      </c>
      <c r="B121" s="32" t="s">
        <v>32</v>
      </c>
      <c r="C121" s="33" t="s">
        <v>46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GRZ</v>
      </c>
    </row>
    <row r="122" spans="1:36" ht="12.75">
      <c r="A122" s="6">
        <v>7.29</v>
      </c>
      <c r="B122" s="32" t="s">
        <v>32</v>
      </c>
      <c r="C122" s="33" t="s">
        <v>46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GRZ</v>
      </c>
    </row>
    <row r="123" spans="1:36" ht="12.75">
      <c r="A123" s="6">
        <v>7.3</v>
      </c>
      <c r="B123" s="32" t="s">
        <v>32</v>
      </c>
      <c r="C123" s="33" t="s">
        <v>46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GRZ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2" t="s">
        <v>32</v>
      </c>
      <c r="C125" s="33" t="s">
        <v>14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GRZ</v>
      </c>
    </row>
    <row r="126" spans="1:36" ht="12.75">
      <c r="A126" s="6">
        <v>8.02</v>
      </c>
      <c r="B126" s="32" t="s">
        <v>32</v>
      </c>
      <c r="C126" s="33" t="s">
        <v>14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GRZ</v>
      </c>
    </row>
    <row r="127" spans="1:36" ht="12.75">
      <c r="A127" s="6">
        <v>8.0299999999999994</v>
      </c>
      <c r="B127" s="32" t="s">
        <v>32</v>
      </c>
      <c r="C127" s="33" t="s">
        <v>14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GRZ</v>
      </c>
    </row>
    <row r="128" spans="1:36" ht="12.75">
      <c r="A128" s="6">
        <v>8.0399999999999991</v>
      </c>
      <c r="B128" s="32" t="s">
        <v>32</v>
      </c>
      <c r="C128" s="33" t="s">
        <v>14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GRZ</v>
      </c>
    </row>
    <row r="129" spans="1:36" ht="12.75">
      <c r="A129" s="6">
        <v>8.0500000000000007</v>
      </c>
      <c r="B129" s="32" t="s">
        <v>32</v>
      </c>
      <c r="C129" s="33" t="s">
        <v>35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GRZ</v>
      </c>
    </row>
    <row r="130" spans="1:36" ht="12.75">
      <c r="A130" s="6">
        <v>8.06</v>
      </c>
      <c r="B130" s="32" t="s">
        <v>32</v>
      </c>
      <c r="C130" s="33" t="s">
        <v>35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GRZ</v>
      </c>
    </row>
    <row r="131" spans="1:36" ht="12.75">
      <c r="A131" s="6">
        <v>8.07</v>
      </c>
      <c r="B131" s="32" t="s">
        <v>32</v>
      </c>
      <c r="C131" s="33" t="s">
        <v>35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GRZ</v>
      </c>
    </row>
    <row r="132" spans="1:36" ht="12.75">
      <c r="A132" s="6">
        <v>8.08</v>
      </c>
      <c r="B132" s="32" t="s">
        <v>32</v>
      </c>
      <c r="C132" s="33" t="s">
        <v>35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GRZ</v>
      </c>
    </row>
    <row r="133" spans="1:36" ht="12.75">
      <c r="A133" s="6">
        <v>8.09</v>
      </c>
      <c r="B133" s="33"/>
      <c r="C133" s="33" t="s">
        <v>42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GRZ</v>
      </c>
    </row>
    <row r="134" spans="1:36" ht="12.75">
      <c r="A134" s="6">
        <v>8.1</v>
      </c>
      <c r="B134" s="33"/>
      <c r="C134" s="33" t="s">
        <v>42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GRZ</v>
      </c>
    </row>
    <row r="135" spans="1:36" ht="12.75">
      <c r="A135" s="6">
        <v>8.11</v>
      </c>
      <c r="B135" s="33"/>
      <c r="C135" s="33" t="s">
        <v>42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GRZ</v>
      </c>
    </row>
    <row r="136" spans="1:36" ht="12.75">
      <c r="A136" s="6">
        <v>8.1199999999999992</v>
      </c>
      <c r="B136" s="33"/>
      <c r="C136" s="33" t="s">
        <v>42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GRZ</v>
      </c>
    </row>
    <row r="137" spans="1:36" ht="12.75">
      <c r="A137" s="6">
        <v>8.1300000000000008</v>
      </c>
      <c r="B137" s="32" t="s">
        <v>32</v>
      </c>
      <c r="C137" s="33" t="s">
        <v>55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GRZ</v>
      </c>
    </row>
    <row r="138" spans="1:36" ht="12.75">
      <c r="A138" s="6">
        <v>8.14</v>
      </c>
      <c r="B138" s="32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2" t="s">
        <v>32</v>
      </c>
      <c r="C139" s="33" t="s">
        <v>55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GRZ</v>
      </c>
    </row>
    <row r="140" spans="1:36" ht="12.75">
      <c r="A140" s="6">
        <v>8.16</v>
      </c>
      <c r="B140" s="32" t="s">
        <v>32</v>
      </c>
      <c r="C140" s="33" t="s">
        <v>55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GRZ</v>
      </c>
    </row>
    <row r="141" spans="1:36" ht="12.75">
      <c r="A141" s="6">
        <v>8.17</v>
      </c>
      <c r="B141" s="32" t="s">
        <v>32</v>
      </c>
      <c r="C141" s="33" t="s">
        <v>55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GRZ</v>
      </c>
    </row>
    <row r="142" spans="1:36" ht="12.75">
      <c r="A142" s="6">
        <v>8.18</v>
      </c>
      <c r="B142" s="33"/>
      <c r="C142" s="33" t="s">
        <v>52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GRZ</v>
      </c>
    </row>
    <row r="143" spans="1:36" ht="12.75">
      <c r="A143" s="6">
        <v>8.19</v>
      </c>
      <c r="B143" s="33"/>
      <c r="C143" s="33" t="s">
        <v>52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GRZ</v>
      </c>
    </row>
    <row r="144" spans="1:36" ht="12.75">
      <c r="A144" s="6">
        <v>8.1999999999999993</v>
      </c>
      <c r="B144" s="33"/>
      <c r="C144" s="33" t="s">
        <v>52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GRZ</v>
      </c>
    </row>
    <row r="145" spans="1:36" ht="12.75">
      <c r="A145" s="6">
        <v>8.2100000000000009</v>
      </c>
      <c r="B145" s="34"/>
      <c r="C145" s="33" t="s">
        <v>49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GRZ</v>
      </c>
    </row>
    <row r="146" spans="1:36" ht="12.75">
      <c r="A146" s="6">
        <v>8.2200000000000006</v>
      </c>
      <c r="B146" s="34"/>
      <c r="C146" s="33" t="s">
        <v>49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GRZ</v>
      </c>
    </row>
    <row r="147" spans="1:36" ht="12.75">
      <c r="A147" s="6">
        <v>8.23</v>
      </c>
      <c r="B147" s="34"/>
      <c r="C147" s="33" t="s">
        <v>49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GRZ</v>
      </c>
    </row>
    <row r="148" spans="1:36" ht="12.75">
      <c r="A148" s="6">
        <v>8.24</v>
      </c>
      <c r="B148" s="34"/>
      <c r="C148" s="33" t="s">
        <v>49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GRZ</v>
      </c>
    </row>
    <row r="149" spans="1:36" ht="12.75">
      <c r="A149" s="6">
        <v>8.25</v>
      </c>
      <c r="B149" s="33"/>
      <c r="C149" s="33" t="s">
        <v>54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GRZ</v>
      </c>
    </row>
    <row r="150" spans="1:36" ht="12.75">
      <c r="A150" s="6">
        <v>8.26</v>
      </c>
      <c r="B150" s="33"/>
      <c r="C150" s="33" t="s">
        <v>54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GRZ</v>
      </c>
    </row>
    <row r="151" spans="1:36" ht="12.75">
      <c r="A151" s="6">
        <v>8.27</v>
      </c>
      <c r="B151" s="33"/>
      <c r="C151" s="33" t="s">
        <v>54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GRZ</v>
      </c>
    </row>
    <row r="152" spans="1:36" ht="12.75">
      <c r="A152" s="6">
        <v>8.2799999999999994</v>
      </c>
      <c r="B152" s="33"/>
      <c r="C152" s="33" t="s">
        <v>54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GRZ</v>
      </c>
    </row>
    <row r="153" spans="1:36" ht="12.75">
      <c r="A153" s="6">
        <v>8.2899999999999991</v>
      </c>
      <c r="B153" s="32" t="s">
        <v>32</v>
      </c>
      <c r="C153" s="33" t="s">
        <v>1917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GRZ</v>
      </c>
    </row>
    <row r="154" spans="1:36" ht="12.75">
      <c r="A154" s="6">
        <v>8.3000000000000007</v>
      </c>
      <c r="B154" s="32" t="s">
        <v>32</v>
      </c>
      <c r="C154" s="33" t="s">
        <v>1917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GRZ</v>
      </c>
    </row>
    <row r="155" spans="1:36" ht="12.75">
      <c r="A155" s="6">
        <v>8.31</v>
      </c>
      <c r="B155" s="32" t="s">
        <v>32</v>
      </c>
      <c r="C155" s="33" t="s">
        <v>1917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GRZ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/>
      <c r="C157" s="33" t="s">
        <v>17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GRZ</v>
      </c>
    </row>
    <row r="158" spans="1:36" ht="12.75">
      <c r="A158" s="6">
        <v>9.0299999999999994</v>
      </c>
      <c r="B158" s="33"/>
      <c r="C158" s="33" t="s">
        <v>17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GRZ</v>
      </c>
    </row>
    <row r="159" spans="1:36" ht="12.75">
      <c r="A159" s="6">
        <v>9.0399999999999991</v>
      </c>
      <c r="B159" s="33"/>
      <c r="C159" s="33" t="s">
        <v>17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GRZ</v>
      </c>
    </row>
    <row r="160" spans="1:36" ht="12.75">
      <c r="A160" s="6">
        <v>9.0500000000000007</v>
      </c>
      <c r="B160" s="32" t="s">
        <v>32</v>
      </c>
      <c r="C160" s="33" t="s">
        <v>33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GRZ</v>
      </c>
    </row>
    <row r="161" spans="1:36" ht="12.75">
      <c r="A161" s="6">
        <v>9.06</v>
      </c>
      <c r="B161" s="32" t="s">
        <v>32</v>
      </c>
      <c r="C161" s="33" t="s">
        <v>33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GRZ</v>
      </c>
    </row>
    <row r="162" spans="1:36" ht="12.75">
      <c r="A162" s="6">
        <v>9.07</v>
      </c>
      <c r="B162" s="32" t="s">
        <v>32</v>
      </c>
      <c r="C162" s="33" t="s">
        <v>33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GRZ</v>
      </c>
    </row>
    <row r="163" spans="1:36" ht="12.75">
      <c r="A163" s="6">
        <v>9.08</v>
      </c>
      <c r="B163" s="32" t="s">
        <v>32</v>
      </c>
      <c r="C163" s="33" t="s">
        <v>15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GRZ</v>
      </c>
    </row>
    <row r="164" spans="1:36" ht="12.75">
      <c r="A164" s="6">
        <v>9.09</v>
      </c>
      <c r="B164" s="32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2" t="s">
        <v>32</v>
      </c>
      <c r="C165" s="33" t="s">
        <v>15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GRZ</v>
      </c>
    </row>
    <row r="166" spans="1:36" ht="12.75">
      <c r="A166" s="6">
        <v>9.11</v>
      </c>
      <c r="B166" s="32" t="s">
        <v>32</v>
      </c>
      <c r="C166" s="33" t="s">
        <v>15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GRZ</v>
      </c>
    </row>
    <row r="167" spans="1:36" ht="12.75">
      <c r="A167" s="6">
        <v>9.1199999999999992</v>
      </c>
      <c r="B167" s="33"/>
      <c r="C167" s="33" t="s">
        <v>51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GRZ</v>
      </c>
    </row>
    <row r="168" spans="1:36" ht="12.75">
      <c r="A168" s="6">
        <v>9.1300000000000008</v>
      </c>
      <c r="B168" s="33"/>
      <c r="C168" s="33" t="s">
        <v>51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GRZ</v>
      </c>
    </row>
    <row r="169" spans="1:36" ht="12.75">
      <c r="A169" s="6">
        <v>9.14</v>
      </c>
      <c r="B169" s="33"/>
      <c r="C169" s="33" t="s">
        <v>51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GRZ</v>
      </c>
    </row>
    <row r="170" spans="1:36" ht="12.75">
      <c r="A170" s="6">
        <v>9.15</v>
      </c>
      <c r="B170" s="33"/>
      <c r="C170" s="33" t="s">
        <v>51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GRZ</v>
      </c>
    </row>
    <row r="171" spans="1:36" ht="12.75">
      <c r="A171" s="6">
        <v>9.16</v>
      </c>
      <c r="B171" s="33"/>
      <c r="C171" s="33" t="s">
        <v>14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GRZ</v>
      </c>
    </row>
    <row r="172" spans="1:36" ht="12.75">
      <c r="A172" s="6">
        <v>9.17</v>
      </c>
      <c r="B172" s="33"/>
      <c r="C172" s="33" t="s">
        <v>14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GRZ</v>
      </c>
    </row>
    <row r="173" spans="1:36" ht="12.75">
      <c r="A173" s="6">
        <v>9.18</v>
      </c>
      <c r="B173" s="33"/>
      <c r="C173" s="33" t="s">
        <v>14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GRZ</v>
      </c>
    </row>
    <row r="174" spans="1:36" ht="12.75">
      <c r="A174" s="6">
        <v>9.19</v>
      </c>
      <c r="B174" s="32" t="s">
        <v>32</v>
      </c>
      <c r="C174" s="33" t="s">
        <v>40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GRZ</v>
      </c>
    </row>
    <row r="175" spans="1:36" ht="12.75">
      <c r="A175" s="6">
        <v>9.1999999999999993</v>
      </c>
      <c r="B175" s="32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2" t="s">
        <v>32</v>
      </c>
      <c r="C176" s="33" t="s">
        <v>40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GRZ</v>
      </c>
    </row>
    <row r="177" spans="1:36" ht="12.75">
      <c r="A177" s="6">
        <v>9.2200000000000006</v>
      </c>
      <c r="B177" s="32" t="s">
        <v>32</v>
      </c>
      <c r="C177" s="33" t="s">
        <v>40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GRZ</v>
      </c>
    </row>
    <row r="178" spans="1:36" ht="12.75">
      <c r="A178" s="6">
        <v>9.23</v>
      </c>
      <c r="B178" s="32" t="s">
        <v>32</v>
      </c>
      <c r="C178" s="33" t="s">
        <v>40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GRZ</v>
      </c>
    </row>
    <row r="179" spans="1:36" ht="12.75">
      <c r="A179" s="6">
        <v>9.24</v>
      </c>
      <c r="B179" s="34"/>
      <c r="C179" s="33" t="s">
        <v>53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GRZ</v>
      </c>
    </row>
    <row r="180" spans="1:36" ht="12.75">
      <c r="A180" s="6">
        <v>9.25</v>
      </c>
      <c r="B180" s="34"/>
      <c r="C180" s="33" t="s">
        <v>53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GRZ</v>
      </c>
    </row>
    <row r="181" spans="1:36" ht="12.75">
      <c r="A181" s="6">
        <v>9.26</v>
      </c>
      <c r="B181" s="34"/>
      <c r="C181" s="33" t="s">
        <v>53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GRZ</v>
      </c>
    </row>
    <row r="182" spans="1:36" ht="12.75">
      <c r="A182" s="6">
        <v>9.27</v>
      </c>
      <c r="B182" s="33"/>
      <c r="C182" s="33" t="s">
        <v>34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GRZ</v>
      </c>
    </row>
    <row r="183" spans="1:36" ht="12.75">
      <c r="A183" s="6">
        <v>9.2799999999999994</v>
      </c>
      <c r="B183" s="33"/>
      <c r="C183" s="33" t="s">
        <v>34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GRZ</v>
      </c>
    </row>
    <row r="184" spans="1:36" ht="12.75">
      <c r="A184" s="6">
        <v>9.2899999999999991</v>
      </c>
      <c r="B184" s="33"/>
      <c r="C184" s="33" t="s">
        <v>34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GRZ</v>
      </c>
    </row>
    <row r="185" spans="1:36" ht="12.75">
      <c r="A185" s="6">
        <v>9.3000000000000007</v>
      </c>
      <c r="B185" s="33"/>
      <c r="C185" s="33" t="s">
        <v>34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GRZ</v>
      </c>
    </row>
    <row r="186" spans="1:36">
      <c r="A186" s="6"/>
      <c r="B186" s="6"/>
      <c r="D186" s="31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6"/>
      <c r="B190" s="6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A191" s="6"/>
      <c r="B191" s="6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Q191" s="5"/>
      <c r="R191" s="10"/>
      <c r="AJ191" s="2"/>
    </row>
    <row r="192" spans="1:36">
      <c r="A192" s="6"/>
      <c r="B192" s="6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Q192" s="5"/>
      <c r="R192" s="10"/>
      <c r="AJ192" s="2"/>
    </row>
    <row r="193" spans="1:36">
      <c r="A193" s="6"/>
      <c r="B193" s="6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Q193" s="5"/>
      <c r="R193" s="10"/>
      <c r="AJ193" s="2"/>
    </row>
    <row r="194" spans="1:36">
      <c r="D194" s="31"/>
      <c r="K194" s="2"/>
      <c r="AJ194" s="2"/>
    </row>
    <row r="195" spans="1:36">
      <c r="D195" s="31"/>
      <c r="K195" s="2"/>
      <c r="AJ195" s="2"/>
    </row>
    <row r="196" spans="1:36">
      <c r="K196" s="2"/>
      <c r="AJ196" s="2"/>
    </row>
    <row r="197" spans="1:36">
      <c r="K197" s="2"/>
      <c r="AJ197" s="2"/>
    </row>
    <row r="198" spans="1:36">
      <c r="K198" s="2"/>
      <c r="AJ198" s="2"/>
    </row>
    <row r="199" spans="1:36">
      <c r="K199" s="2"/>
      <c r="AJ199" s="2"/>
    </row>
    <row r="200" spans="1:36">
      <c r="K200" s="2"/>
      <c r="AJ200" s="2"/>
    </row>
    <row r="201" spans="1:36">
      <c r="K201" s="2"/>
      <c r="AJ201" s="2"/>
    </row>
    <row r="202" spans="1:36">
      <c r="K202" s="2"/>
      <c r="AJ202" s="2"/>
    </row>
    <row r="203" spans="1:36">
      <c r="K203" s="2"/>
      <c r="AJ203" s="2"/>
    </row>
    <row r="204" spans="1:36">
      <c r="AJ204" s="2"/>
    </row>
    <row r="205" spans="1:36">
      <c r="AJ205" s="2"/>
    </row>
    <row r="206" spans="1:36">
      <c r="AJ206" s="2"/>
    </row>
    <row r="207" spans="1:36">
      <c r="AJ207" s="2"/>
    </row>
    <row r="208" spans="1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6194" priority="2831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93" priority="2832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6192" priority="2833" stopIfTrue="1" operator="equal">
      <formula>"input a different starter in column C"</formula>
    </cfRule>
  </conditionalFormatting>
  <conditionalFormatting sqref="AK23">
    <cfRule type="cellIs" dxfId="6191" priority="2835" stopIfTrue="1" operator="equal">
      <formula>"must have 162 starts"</formula>
    </cfRule>
  </conditionalFormatting>
  <conditionalFormatting sqref="AH3:AH22">
    <cfRule type="cellIs" dxfId="6190" priority="2691" stopIfTrue="1" operator="equal">
      <formula>"must average at least 5 innings per start"</formula>
    </cfRule>
  </conditionalFormatting>
  <conditionalFormatting sqref="AH23">
    <cfRule type="cellIs" dxfId="6189" priority="2690" stopIfTrue="1" operator="equal">
      <formula>"must have 162 starts"</formula>
    </cfRule>
  </conditionalFormatting>
  <conditionalFormatting sqref="AG3:AG22">
    <cfRule type="cellIs" dxfId="6188" priority="2689" stopIfTrue="1" operator="equal">
      <formula>"must average at least 5 innings per start"</formula>
    </cfRule>
  </conditionalFormatting>
  <conditionalFormatting sqref="AG23">
    <cfRule type="cellIs" dxfId="6187" priority="2688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86" priority="268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85" priority="268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84" priority="268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83" priority="268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82" priority="268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81" priority="268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80" priority="268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79" priority="268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78" priority="267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77" priority="267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76" priority="267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175" priority="2676" stopIfTrue="1" operator="equal">
      <formula>"input starter in column C"</formula>
    </cfRule>
  </conditionalFormatting>
  <conditionalFormatting sqref="P3">
    <cfRule type="cellIs" dxfId="6174" priority="2675" stopIfTrue="1" operator="equal">
      <formula>"input starter in column D"</formula>
    </cfRule>
  </conditionalFormatting>
  <conditionalFormatting sqref="P4">
    <cfRule type="cellIs" dxfId="6173" priority="2674" stopIfTrue="1" operator="equal">
      <formula>"input starter in column D"</formula>
    </cfRule>
  </conditionalFormatting>
  <conditionalFormatting sqref="P5">
    <cfRule type="cellIs" dxfId="6172" priority="2673" stopIfTrue="1" operator="equal">
      <formula>"INPUT STARTER IN COLUMN D"</formula>
    </cfRule>
  </conditionalFormatting>
  <conditionalFormatting sqref="P6">
    <cfRule type="cellIs" dxfId="6171" priority="2672" stopIfTrue="1" operator="equal">
      <formula>"INPUT STARTER IN COLUMN D"</formula>
    </cfRule>
  </conditionalFormatting>
  <conditionalFormatting sqref="P8">
    <cfRule type="cellIs" dxfId="6170" priority="2671" stopIfTrue="1" operator="equal">
      <formula>"INPUT STARTER IN COLUMN D"</formula>
    </cfRule>
  </conditionalFormatting>
  <conditionalFormatting sqref="P9">
    <cfRule type="cellIs" dxfId="6169" priority="2670" stopIfTrue="1" operator="equal">
      <formula>"INPUT STARTER IN COLUMN D"</formula>
    </cfRule>
  </conditionalFormatting>
  <conditionalFormatting sqref="P10">
    <cfRule type="cellIs" dxfId="6168" priority="2669" stopIfTrue="1" operator="equal">
      <formula>"INPUT STARTER IN COLUMN D"</formula>
    </cfRule>
  </conditionalFormatting>
  <conditionalFormatting sqref="P11">
    <cfRule type="cellIs" dxfId="6167" priority="2668" stopIfTrue="1" operator="equal">
      <formula>"INPUT STARTER IN COLUMN D"</formula>
    </cfRule>
  </conditionalFormatting>
  <conditionalFormatting sqref="P13">
    <cfRule type="cellIs" dxfId="6166" priority="2667" stopIfTrue="1" operator="equal">
      <formula>"INPUT STARTER IN COLUMN D"</formula>
    </cfRule>
  </conditionalFormatting>
  <conditionalFormatting sqref="P14">
    <cfRule type="cellIs" dxfId="6165" priority="2666" stopIfTrue="1" operator="equal">
      <formula>"INPUT STARTER IN COLUMN D"</formula>
    </cfRule>
  </conditionalFormatting>
  <conditionalFormatting sqref="P15">
    <cfRule type="cellIs" dxfId="6164" priority="2665" stopIfTrue="1" operator="equal">
      <formula>"INPUT STARTER IN COLUMN D"</formula>
    </cfRule>
  </conditionalFormatting>
  <conditionalFormatting sqref="P16">
    <cfRule type="cellIs" dxfId="6163" priority="2664" stopIfTrue="1" operator="equal">
      <formula>"INPUT STARTER IN COLUMN D"</formula>
    </cfRule>
  </conditionalFormatting>
  <conditionalFormatting sqref="P18">
    <cfRule type="cellIs" dxfId="6162" priority="2663" stopIfTrue="1" operator="equal">
      <formula>"INPUT STARTER IN COLUMN D"</formula>
    </cfRule>
  </conditionalFormatting>
  <conditionalFormatting sqref="P19">
    <cfRule type="cellIs" dxfId="6161" priority="2662" stopIfTrue="1" operator="equal">
      <formula>"INPUT STARTER IN COLUMN D"</formula>
    </cfRule>
  </conditionalFormatting>
  <conditionalFormatting sqref="P20">
    <cfRule type="cellIs" dxfId="6160" priority="2661" stopIfTrue="1" operator="equal">
      <formula>"INPUT STARTER IN COLUMN D"</formula>
    </cfRule>
  </conditionalFormatting>
  <conditionalFormatting sqref="P21">
    <cfRule type="cellIs" dxfId="6159" priority="2660" stopIfTrue="1" operator="equal">
      <formula>"INPUT STARTER IN COLUMN D"</formula>
    </cfRule>
  </conditionalFormatting>
  <conditionalFormatting sqref="P23">
    <cfRule type="cellIs" dxfId="6158" priority="2659" stopIfTrue="1" operator="equal">
      <formula>"INPUT STARTER IN COLUMN D"</formula>
    </cfRule>
  </conditionalFormatting>
  <conditionalFormatting sqref="P24">
    <cfRule type="cellIs" dxfId="6157" priority="2658" stopIfTrue="1" operator="equal">
      <formula>"INPUT STARTER IN COLUMN D"</formula>
    </cfRule>
  </conditionalFormatting>
  <conditionalFormatting sqref="P25">
    <cfRule type="cellIs" dxfId="6156" priority="2657" stopIfTrue="1" operator="equal">
      <formula>"INPUT STARTER IN COLUMN D"</formula>
    </cfRule>
  </conditionalFormatting>
  <conditionalFormatting sqref="P26">
    <cfRule type="cellIs" dxfId="6155" priority="2656" stopIfTrue="1" operator="equal">
      <formula>"INPUT STARTER IN COLUMN D"</formula>
    </cfRule>
  </conditionalFormatting>
  <conditionalFormatting sqref="P28">
    <cfRule type="cellIs" dxfId="6154" priority="2655" stopIfTrue="1" operator="equal">
      <formula>"INPUT STARTER IN COLUMN D"</formula>
    </cfRule>
  </conditionalFormatting>
  <conditionalFormatting sqref="P29">
    <cfRule type="cellIs" dxfId="6153" priority="2654" stopIfTrue="1" operator="equal">
      <formula>"INPUT STARTER IN COLUMN D"</formula>
    </cfRule>
  </conditionalFormatting>
  <conditionalFormatting sqref="P30">
    <cfRule type="cellIs" dxfId="6152" priority="2653" stopIfTrue="1" operator="equal">
      <formula>"INPUT STARTER IN COLUMN D"</formula>
    </cfRule>
  </conditionalFormatting>
  <conditionalFormatting sqref="P31">
    <cfRule type="cellIs" dxfId="6151" priority="2652" stopIfTrue="1" operator="equal">
      <formula>"INPUT STARTER IN COLUMN D"</formula>
    </cfRule>
  </conditionalFormatting>
  <conditionalFormatting sqref="P33">
    <cfRule type="cellIs" dxfId="6150" priority="2651" stopIfTrue="1" operator="equal">
      <formula>"INPUT STARTER IN COLUMN D"</formula>
    </cfRule>
  </conditionalFormatting>
  <conditionalFormatting sqref="P34">
    <cfRule type="cellIs" dxfId="6149" priority="2650" stopIfTrue="1" operator="equal">
      <formula>"INPUT STARTER IN COLUMN D"</formula>
    </cfRule>
  </conditionalFormatting>
  <conditionalFormatting sqref="P35">
    <cfRule type="cellIs" dxfId="6148" priority="2649" stopIfTrue="1" operator="equal">
      <formula>"INPUT STARTER IN COLUMN D"</formula>
    </cfRule>
  </conditionalFormatting>
  <conditionalFormatting sqref="P36">
    <cfRule type="cellIs" dxfId="6147" priority="2648" stopIfTrue="1" operator="equal">
      <formula>"INPUT STARTER IN COLUMN D"</formula>
    </cfRule>
  </conditionalFormatting>
  <conditionalFormatting sqref="P37">
    <cfRule type="cellIs" dxfId="6146" priority="2647" stopIfTrue="1" operator="equal">
      <formula>"INPUT STARTER IN COLUMN D"</formula>
    </cfRule>
  </conditionalFormatting>
  <conditionalFormatting sqref="P38">
    <cfRule type="cellIs" dxfId="6145" priority="2646" stopIfTrue="1" operator="equal">
      <formula>"INPUT STARTER IN COLUMN D"</formula>
    </cfRule>
  </conditionalFormatting>
  <conditionalFormatting sqref="P39">
    <cfRule type="cellIs" dxfId="6144" priority="2645" stopIfTrue="1" operator="equal">
      <formula>"INPUT STARTER IN COLUMN D"</formula>
    </cfRule>
  </conditionalFormatting>
  <conditionalFormatting sqref="P40">
    <cfRule type="cellIs" dxfId="6143" priority="2644" stopIfTrue="1" operator="equal">
      <formula>"INPUT STARTER IN COLUMN D"</formula>
    </cfRule>
  </conditionalFormatting>
  <conditionalFormatting sqref="P42">
    <cfRule type="cellIs" dxfId="6142" priority="2643" stopIfTrue="1" operator="equal">
      <formula>"INPUT STARTER IN COLUMN D"</formula>
    </cfRule>
  </conditionalFormatting>
  <conditionalFormatting sqref="P43">
    <cfRule type="cellIs" dxfId="6141" priority="2642" stopIfTrue="1" operator="equal">
      <formula>"INPUT STARTER IN COLUMN D"</formula>
    </cfRule>
  </conditionalFormatting>
  <conditionalFormatting sqref="P44">
    <cfRule type="cellIs" dxfId="6140" priority="2641" stopIfTrue="1" operator="equal">
      <formula>"INPUT STARTER IN COLUMN D"</formula>
    </cfRule>
  </conditionalFormatting>
  <conditionalFormatting sqref="P45">
    <cfRule type="cellIs" dxfId="6139" priority="2640" stopIfTrue="1" operator="equal">
      <formula>"INPUT STARTER IN COLUMN D"</formula>
    </cfRule>
  </conditionalFormatting>
  <conditionalFormatting sqref="P46">
    <cfRule type="cellIs" dxfId="6138" priority="2639" stopIfTrue="1" operator="equal">
      <formula>"INPUT STARTER IN COLUMN D"</formula>
    </cfRule>
  </conditionalFormatting>
  <conditionalFormatting sqref="P47">
    <cfRule type="cellIs" dxfId="6137" priority="2638" stopIfTrue="1" operator="equal">
      <formula>"INPUT STARTER IN COLUMN D"</formula>
    </cfRule>
  </conditionalFormatting>
  <conditionalFormatting sqref="P49">
    <cfRule type="cellIs" dxfId="6136" priority="2637" stopIfTrue="1" operator="equal">
      <formula>"INPUT STARTER IN COLUMN D"</formula>
    </cfRule>
  </conditionalFormatting>
  <conditionalFormatting sqref="P50">
    <cfRule type="cellIs" dxfId="6135" priority="2636" stopIfTrue="1" operator="equal">
      <formula>"INPUT STARTER IN COLUMN D"</formula>
    </cfRule>
  </conditionalFormatting>
  <conditionalFormatting sqref="P51">
    <cfRule type="cellIs" dxfId="6134" priority="2635" stopIfTrue="1" operator="equal">
      <formula>"INPUT STARTER IN COLUMN D"</formula>
    </cfRule>
  </conditionalFormatting>
  <conditionalFormatting sqref="P52">
    <cfRule type="cellIs" dxfId="6133" priority="2634" stopIfTrue="1" operator="equal">
      <formula>"INPUT STARTER IN COLUMN D"</formula>
    </cfRule>
  </conditionalFormatting>
  <conditionalFormatting sqref="P53">
    <cfRule type="cellIs" dxfId="6132" priority="2633" stopIfTrue="1" operator="equal">
      <formula>"INPUT STARTER IN COLUMN D"</formula>
    </cfRule>
  </conditionalFormatting>
  <conditionalFormatting sqref="P54">
    <cfRule type="cellIs" dxfId="6131" priority="2632" stopIfTrue="1" operator="equal">
      <formula>"INPUT STARTER IN COLUMN D"</formula>
    </cfRule>
  </conditionalFormatting>
  <conditionalFormatting sqref="P56">
    <cfRule type="cellIs" dxfId="6130" priority="2631" stopIfTrue="1" operator="equal">
      <formula>"INPUT STARTER IN COLUMN D"</formula>
    </cfRule>
  </conditionalFormatting>
  <conditionalFormatting sqref="P57">
    <cfRule type="cellIs" dxfId="6129" priority="2630" stopIfTrue="1" operator="equal">
      <formula>"INPUT STARTER IN COLUMN D"</formula>
    </cfRule>
  </conditionalFormatting>
  <conditionalFormatting sqref="P58">
    <cfRule type="cellIs" dxfId="6128" priority="2629" stopIfTrue="1" operator="equal">
      <formula>"INPUT STARTER IN COLUMN D"</formula>
    </cfRule>
  </conditionalFormatting>
  <conditionalFormatting sqref="P59">
    <cfRule type="cellIs" dxfId="6127" priority="2628" stopIfTrue="1" operator="equal">
      <formula>"INPUT STARTER IN COLUMN D"</formula>
    </cfRule>
  </conditionalFormatting>
  <conditionalFormatting sqref="P60">
    <cfRule type="cellIs" dxfId="6126" priority="2627" stopIfTrue="1" operator="equal">
      <formula>"INPUT STARTER IN COLUMN D"</formula>
    </cfRule>
  </conditionalFormatting>
  <conditionalFormatting sqref="P61">
    <cfRule type="cellIs" dxfId="6125" priority="2626" stopIfTrue="1" operator="equal">
      <formula>"INPUT STARTER IN COLUMN D"</formula>
    </cfRule>
  </conditionalFormatting>
  <conditionalFormatting sqref="P63">
    <cfRule type="cellIs" dxfId="6124" priority="2625" stopIfTrue="1" operator="equal">
      <formula>"INPUT STARTER IN COLUMN D"</formula>
    </cfRule>
  </conditionalFormatting>
  <conditionalFormatting sqref="P64">
    <cfRule type="cellIs" dxfId="6123" priority="2624" stopIfTrue="1" operator="equal">
      <formula>"INPUT STARTER IN COLUMN D"</formula>
    </cfRule>
  </conditionalFormatting>
  <conditionalFormatting sqref="P65">
    <cfRule type="cellIs" dxfId="6122" priority="2623" stopIfTrue="1" operator="equal">
      <formula>"INPUT STARTER IN COLUMN D"</formula>
    </cfRule>
  </conditionalFormatting>
  <conditionalFormatting sqref="P66">
    <cfRule type="cellIs" dxfId="6121" priority="2622" stopIfTrue="1" operator="equal">
      <formula>"INPUT STARTER IN COLUMN D"</formula>
    </cfRule>
  </conditionalFormatting>
  <conditionalFormatting sqref="P67">
    <cfRule type="cellIs" dxfId="6120" priority="2621" stopIfTrue="1" operator="equal">
      <formula>"INPUT STARTER IN COLUMN D"</formula>
    </cfRule>
  </conditionalFormatting>
  <conditionalFormatting sqref="P68">
    <cfRule type="cellIs" dxfId="6119" priority="2620" stopIfTrue="1" operator="equal">
      <formula>"INPUT STARTER IN COLUMN D"</formula>
    </cfRule>
  </conditionalFormatting>
  <conditionalFormatting sqref="P69">
    <cfRule type="cellIs" dxfId="6118" priority="2619" stopIfTrue="1" operator="equal">
      <formula>"INPUT STARTER IN COLUMN D"</formula>
    </cfRule>
  </conditionalFormatting>
  <conditionalFormatting sqref="P71">
    <cfRule type="cellIs" dxfId="6117" priority="2618" stopIfTrue="1" operator="equal">
      <formula>"INPUT STARTER IN COLUMN D"</formula>
    </cfRule>
  </conditionalFormatting>
  <conditionalFormatting sqref="P72">
    <cfRule type="cellIs" dxfId="6116" priority="2617" stopIfTrue="1" operator="equal">
      <formula>"INPUT STARTER IN COLUMN D"</formula>
    </cfRule>
  </conditionalFormatting>
  <conditionalFormatting sqref="P73">
    <cfRule type="cellIs" dxfId="6115" priority="2616" stopIfTrue="1" operator="equal">
      <formula>"INPUT STARTER IN COLUMN D"</formula>
    </cfRule>
  </conditionalFormatting>
  <conditionalFormatting sqref="P74">
    <cfRule type="cellIs" dxfId="6114" priority="2615" stopIfTrue="1" operator="equal">
      <formula>"INPUT STARTER IN COLUMN D"</formula>
    </cfRule>
  </conditionalFormatting>
  <conditionalFormatting sqref="P75">
    <cfRule type="cellIs" dxfId="6113" priority="2614" stopIfTrue="1" operator="equal">
      <formula>"INPUT STARTER IN COLUMN D"</formula>
    </cfRule>
  </conditionalFormatting>
  <conditionalFormatting sqref="P76">
    <cfRule type="cellIs" dxfId="6112" priority="2613" stopIfTrue="1" operator="equal">
      <formula>"INPUT STARTER IN COLUMN D"</formula>
    </cfRule>
  </conditionalFormatting>
  <conditionalFormatting sqref="P77">
    <cfRule type="cellIs" dxfId="6111" priority="2612" stopIfTrue="1" operator="equal">
      <formula>"INPUT STARTER IN COLUMN D"</formula>
    </cfRule>
  </conditionalFormatting>
  <conditionalFormatting sqref="P78">
    <cfRule type="cellIs" dxfId="6110" priority="2611" stopIfTrue="1" operator="equal">
      <formula>"INPUT STARTER IN COLUMN D"</formula>
    </cfRule>
  </conditionalFormatting>
  <conditionalFormatting sqref="P79">
    <cfRule type="cellIs" dxfId="6109" priority="2610" stopIfTrue="1" operator="equal">
      <formula>"INPUT STARTER IN COLUMN D"</formula>
    </cfRule>
  </conditionalFormatting>
  <conditionalFormatting sqref="P80">
    <cfRule type="cellIs" dxfId="6108" priority="2609" stopIfTrue="1" operator="equal">
      <formula>"INPUT STARTER IN COLUMN D"</formula>
    </cfRule>
  </conditionalFormatting>
  <conditionalFormatting sqref="P81">
    <cfRule type="cellIs" dxfId="6107" priority="2608" stopIfTrue="1" operator="equal">
      <formula>"INPUT STARTER IN COLUMN D"</formula>
    </cfRule>
  </conditionalFormatting>
  <conditionalFormatting sqref="P82">
    <cfRule type="cellIs" dxfId="6106" priority="2607" stopIfTrue="1" operator="equal">
      <formula>"INPUT STARTER IN COLUMN D"</formula>
    </cfRule>
  </conditionalFormatting>
  <conditionalFormatting sqref="P84">
    <cfRule type="cellIs" dxfId="6105" priority="2606" stopIfTrue="1" operator="equal">
      <formula>"INPUT STARTER IN COLUMN D"</formula>
    </cfRule>
  </conditionalFormatting>
  <conditionalFormatting sqref="P85">
    <cfRule type="cellIs" dxfId="6104" priority="2605" stopIfTrue="1" operator="equal">
      <formula>"INPUT STARTER IN COLUMN D"</formula>
    </cfRule>
  </conditionalFormatting>
  <conditionalFormatting sqref="P86">
    <cfRule type="cellIs" dxfId="6103" priority="2604" stopIfTrue="1" operator="equal">
      <formula>"INPUT STARTER IN COLUMN D"</formula>
    </cfRule>
  </conditionalFormatting>
  <conditionalFormatting sqref="P87">
    <cfRule type="cellIs" dxfId="6102" priority="2603" stopIfTrue="1" operator="equal">
      <formula>"INPUT STARTER IN COLUMN D"</formula>
    </cfRule>
  </conditionalFormatting>
  <conditionalFormatting sqref="P88">
    <cfRule type="cellIs" dxfId="6101" priority="2602" stopIfTrue="1" operator="equal">
      <formula>"INPUT STARTER IN COLUMN D"</formula>
    </cfRule>
  </conditionalFormatting>
  <conditionalFormatting sqref="P89">
    <cfRule type="cellIs" dxfId="6100" priority="2601" stopIfTrue="1" operator="equal">
      <formula>"INPUT STARTER IN COLUMN D"</formula>
    </cfRule>
  </conditionalFormatting>
  <conditionalFormatting sqref="P91">
    <cfRule type="cellIs" dxfId="6099" priority="2600" stopIfTrue="1" operator="equal">
      <formula>"INPUT STARTER IN COLUMN D"</formula>
    </cfRule>
  </conditionalFormatting>
  <conditionalFormatting sqref="P92">
    <cfRule type="cellIs" dxfId="6098" priority="2599" stopIfTrue="1" operator="equal">
      <formula>"INPUT STARTER IN COLUMN D"</formula>
    </cfRule>
  </conditionalFormatting>
  <conditionalFormatting sqref="P93">
    <cfRule type="cellIs" dxfId="6097" priority="2598" stopIfTrue="1" operator="equal">
      <formula>"INPUT STARTER IN COLUMN D"</formula>
    </cfRule>
  </conditionalFormatting>
  <conditionalFormatting sqref="P94">
    <cfRule type="cellIs" dxfId="6096" priority="2597" stopIfTrue="1" operator="equal">
      <formula>"INPUT STARTER IN COLUMN D"</formula>
    </cfRule>
  </conditionalFormatting>
  <conditionalFormatting sqref="P95">
    <cfRule type="cellIs" dxfId="6095" priority="2596" stopIfTrue="1" operator="equal">
      <formula>"INPUT STARTER IN COLUMN D"</formula>
    </cfRule>
  </conditionalFormatting>
  <conditionalFormatting sqref="P96">
    <cfRule type="cellIs" dxfId="6094" priority="2595" stopIfTrue="1" operator="equal">
      <formula>"INPUT STARTER IN COLUMN D"</formula>
    </cfRule>
  </conditionalFormatting>
  <conditionalFormatting sqref="P97">
    <cfRule type="cellIs" dxfId="6093" priority="2594" stopIfTrue="1" operator="equal">
      <formula>"INPUT STARTER IN COLUMN D"</formula>
    </cfRule>
  </conditionalFormatting>
  <conditionalFormatting sqref="P98">
    <cfRule type="cellIs" dxfId="6092" priority="2593" stopIfTrue="1" operator="equal">
      <formula>"INPUT STARTER IN COLUMN D"</formula>
    </cfRule>
  </conditionalFormatting>
  <conditionalFormatting sqref="P99">
    <cfRule type="cellIs" dxfId="6091" priority="2592" stopIfTrue="1" operator="equal">
      <formula>"INPUT STARTER IN COLUMN D"</formula>
    </cfRule>
  </conditionalFormatting>
  <conditionalFormatting sqref="P100">
    <cfRule type="cellIs" dxfId="6090" priority="2591" stopIfTrue="1" operator="equal">
      <formula>"INPUT STARTER IN COLUMN D"</formula>
    </cfRule>
  </conditionalFormatting>
  <conditionalFormatting sqref="P101">
    <cfRule type="cellIs" dxfId="6089" priority="2590" stopIfTrue="1" operator="equal">
      <formula>"INPUT STARTER IN COLUMN D"</formula>
    </cfRule>
  </conditionalFormatting>
  <conditionalFormatting sqref="P102">
    <cfRule type="cellIs" dxfId="6088" priority="2589" stopIfTrue="1" operator="equal">
      <formula>"INPUT STARTER IN COLUMN D"</formula>
    </cfRule>
  </conditionalFormatting>
  <conditionalFormatting sqref="P106">
    <cfRule type="cellIs" dxfId="6087" priority="2588" stopIfTrue="1" operator="equal">
      <formula>"INPUT STARTER IN COLUMN D"</formula>
    </cfRule>
  </conditionalFormatting>
  <conditionalFormatting sqref="P107">
    <cfRule type="cellIs" dxfId="6086" priority="2587" stopIfTrue="1" operator="equal">
      <formula>"INPUT STARTER IN COLUMN D"</formula>
    </cfRule>
  </conditionalFormatting>
  <conditionalFormatting sqref="P108">
    <cfRule type="cellIs" dxfId="6085" priority="2586" stopIfTrue="1" operator="equal">
      <formula>"INPUT STARTER IN COLUMN D"</formula>
    </cfRule>
  </conditionalFormatting>
  <conditionalFormatting sqref="P109">
    <cfRule type="cellIs" dxfId="6084" priority="2585" stopIfTrue="1" operator="equal">
      <formula>"INPUT STARTER IN COLUMN D"</formula>
    </cfRule>
  </conditionalFormatting>
  <conditionalFormatting sqref="P110">
    <cfRule type="cellIs" dxfId="6083" priority="2584" stopIfTrue="1" operator="equal">
      <formula>"INPUT STARTER IN COLUMN D"</formula>
    </cfRule>
  </conditionalFormatting>
  <conditionalFormatting sqref="P111">
    <cfRule type="cellIs" dxfId="6082" priority="2583" stopIfTrue="1" operator="equal">
      <formula>"INPUT STARTER IN COLUMN D"</formula>
    </cfRule>
  </conditionalFormatting>
  <conditionalFormatting sqref="P112">
    <cfRule type="cellIs" dxfId="6081" priority="2582" stopIfTrue="1" operator="equal">
      <formula>"INPUT STARTER IN COLUMN D"</formula>
    </cfRule>
  </conditionalFormatting>
  <conditionalFormatting sqref="P113">
    <cfRule type="cellIs" dxfId="6080" priority="2581" stopIfTrue="1" operator="equal">
      <formula>"INPUT STARTER IN COLUMN D"</formula>
    </cfRule>
  </conditionalFormatting>
  <conditionalFormatting sqref="P114">
    <cfRule type="cellIs" dxfId="6079" priority="2580" stopIfTrue="1" operator="equal">
      <formula>"INPUT STARTER IN COLUMN D"</formula>
    </cfRule>
  </conditionalFormatting>
  <conditionalFormatting sqref="P115">
    <cfRule type="cellIs" dxfId="6078" priority="2579" stopIfTrue="1" operator="equal">
      <formula>"INPUT STARTER IN COLUMN D"</formula>
    </cfRule>
  </conditionalFormatting>
  <conditionalFormatting sqref="P116">
    <cfRule type="cellIs" dxfId="6077" priority="2578" stopIfTrue="1" operator="equal">
      <formula>"INPUT STARTER IN COLUMN D"</formula>
    </cfRule>
  </conditionalFormatting>
  <conditionalFormatting sqref="P117">
    <cfRule type="cellIs" dxfId="6076" priority="2577" stopIfTrue="1" operator="equal">
      <formula>"INPUT STARTER IN COLUMN D"</formula>
    </cfRule>
  </conditionalFormatting>
  <conditionalFormatting sqref="P118">
    <cfRule type="cellIs" dxfId="6075" priority="2576" stopIfTrue="1" operator="equal">
      <formula>"INPUT STARTER IN COLUMN D"</formula>
    </cfRule>
  </conditionalFormatting>
  <conditionalFormatting sqref="P119">
    <cfRule type="cellIs" dxfId="6074" priority="2575" stopIfTrue="1" operator="equal">
      <formula>"INPUT STARTER IN COLUMN D"</formula>
    </cfRule>
  </conditionalFormatting>
  <conditionalFormatting sqref="P120">
    <cfRule type="cellIs" dxfId="6073" priority="2574" stopIfTrue="1" operator="equal">
      <formula>"INPUT STARTER IN COLUMN D"</formula>
    </cfRule>
  </conditionalFormatting>
  <conditionalFormatting sqref="P121">
    <cfRule type="cellIs" dxfId="6072" priority="2573" stopIfTrue="1" operator="equal">
      <formula>"INPUT STARTER IN COLUMN D"</formula>
    </cfRule>
  </conditionalFormatting>
  <conditionalFormatting sqref="P122">
    <cfRule type="cellIs" dxfId="6071" priority="2572" stopIfTrue="1" operator="equal">
      <formula>"INPUT STARTER IN COLUMN D"</formula>
    </cfRule>
  </conditionalFormatting>
  <conditionalFormatting sqref="P123">
    <cfRule type="cellIs" dxfId="6070" priority="2571" stopIfTrue="1" operator="equal">
      <formula>"INPUT STARTER IN COLUMN D"</formula>
    </cfRule>
  </conditionalFormatting>
  <conditionalFormatting sqref="P125">
    <cfRule type="cellIs" dxfId="6069" priority="2570" stopIfTrue="1" operator="equal">
      <formula>"INPUT STARTER IN COLUMN D"</formula>
    </cfRule>
  </conditionalFormatting>
  <conditionalFormatting sqref="P126">
    <cfRule type="cellIs" dxfId="6068" priority="2569" stopIfTrue="1" operator="equal">
      <formula>"INPUT STARTER IN COLUMN D"</formula>
    </cfRule>
  </conditionalFormatting>
  <conditionalFormatting sqref="P127">
    <cfRule type="cellIs" dxfId="6067" priority="2568" stopIfTrue="1" operator="equal">
      <formula>"INPUT STARTER IN COLUMN D"</formula>
    </cfRule>
  </conditionalFormatting>
  <conditionalFormatting sqref="P128">
    <cfRule type="cellIs" dxfId="6066" priority="2567" stopIfTrue="1" operator="equal">
      <formula>"INPUT STARTER IN COLUMN D"</formula>
    </cfRule>
  </conditionalFormatting>
  <conditionalFormatting sqref="P129">
    <cfRule type="cellIs" dxfId="6065" priority="2566" stopIfTrue="1" operator="equal">
      <formula>"INPUT STARTER IN COLUMN D"</formula>
    </cfRule>
  </conditionalFormatting>
  <conditionalFormatting sqref="P130">
    <cfRule type="cellIs" dxfId="6064" priority="2565" stopIfTrue="1" operator="equal">
      <formula>"INPUT STARTER IN COLUMN D"</formula>
    </cfRule>
  </conditionalFormatting>
  <conditionalFormatting sqref="P131">
    <cfRule type="cellIs" dxfId="6063" priority="2564" stopIfTrue="1" operator="equal">
      <formula>"INPUT STARTER IN COLUMN D"</formula>
    </cfRule>
  </conditionalFormatting>
  <conditionalFormatting sqref="P132">
    <cfRule type="cellIs" dxfId="6062" priority="2563" stopIfTrue="1" operator="equal">
      <formula>"INPUT STARTER IN COLUMN D"</formula>
    </cfRule>
  </conditionalFormatting>
  <conditionalFormatting sqref="P133">
    <cfRule type="cellIs" dxfId="6061" priority="2562" stopIfTrue="1" operator="equal">
      <formula>"INPUT STARTER IN COLUMN D"</formula>
    </cfRule>
  </conditionalFormatting>
  <conditionalFormatting sqref="P134">
    <cfRule type="cellIs" dxfId="6060" priority="2561" stopIfTrue="1" operator="equal">
      <formula>"INPUT STARTER IN COLUMN D"</formula>
    </cfRule>
  </conditionalFormatting>
  <conditionalFormatting sqref="P135">
    <cfRule type="cellIs" dxfId="6059" priority="2560" stopIfTrue="1" operator="equal">
      <formula>"INPUT STARTER IN COLUMN D"</formula>
    </cfRule>
  </conditionalFormatting>
  <conditionalFormatting sqref="P136">
    <cfRule type="cellIs" dxfId="6058" priority="2559" stopIfTrue="1" operator="equal">
      <formula>"INPUT STARTER IN COLUMN D"</formula>
    </cfRule>
  </conditionalFormatting>
  <conditionalFormatting sqref="P137">
    <cfRule type="cellIs" dxfId="6057" priority="2558" stopIfTrue="1" operator="equal">
      <formula>"INPUT STARTER IN COLUMN D"</formula>
    </cfRule>
  </conditionalFormatting>
  <conditionalFormatting sqref="P139">
    <cfRule type="cellIs" dxfId="6056" priority="2557" stopIfTrue="1" operator="equal">
      <formula>"INPUT STARTER IN COLUMN D"</formula>
    </cfRule>
  </conditionalFormatting>
  <conditionalFormatting sqref="P140">
    <cfRule type="cellIs" dxfId="6055" priority="2556" stopIfTrue="1" operator="equal">
      <formula>"INPUT STARTER IN COLUMN D"</formula>
    </cfRule>
  </conditionalFormatting>
  <conditionalFormatting sqref="P141">
    <cfRule type="cellIs" dxfId="6054" priority="2555" stopIfTrue="1" operator="equal">
      <formula>"INPUT STARTER IN COLUMN D"</formula>
    </cfRule>
  </conditionalFormatting>
  <conditionalFormatting sqref="P142">
    <cfRule type="cellIs" dxfId="6053" priority="2554" stopIfTrue="1" operator="equal">
      <formula>"INPUT STARTER IN COLUMN D"</formula>
    </cfRule>
  </conditionalFormatting>
  <conditionalFormatting sqref="P143">
    <cfRule type="cellIs" dxfId="6052" priority="2553" stopIfTrue="1" operator="equal">
      <formula>"INPUT STARTER IN COLUMN D"</formula>
    </cfRule>
  </conditionalFormatting>
  <conditionalFormatting sqref="P144">
    <cfRule type="cellIs" dxfId="6051" priority="2552" stopIfTrue="1" operator="equal">
      <formula>"INPUT STARTER IN COLUMN D"</formula>
    </cfRule>
  </conditionalFormatting>
  <conditionalFormatting sqref="P145">
    <cfRule type="cellIs" dxfId="6050" priority="2551" stopIfTrue="1" operator="equal">
      <formula>"INPUT STARTER IN COLUMN D"</formula>
    </cfRule>
  </conditionalFormatting>
  <conditionalFormatting sqref="P146">
    <cfRule type="cellIs" dxfId="6049" priority="2550" stopIfTrue="1" operator="equal">
      <formula>"INPUT STARTER IN COLUMN D"</formula>
    </cfRule>
  </conditionalFormatting>
  <conditionalFormatting sqref="P147">
    <cfRule type="cellIs" dxfId="6048" priority="2549" stopIfTrue="1" operator="equal">
      <formula>"INPUT STARTER IN COLUMN D"</formula>
    </cfRule>
  </conditionalFormatting>
  <conditionalFormatting sqref="P148">
    <cfRule type="cellIs" dxfId="6047" priority="2548" stopIfTrue="1" operator="equal">
      <formula>"INPUT STARTER IN COLUMN D"</formula>
    </cfRule>
  </conditionalFormatting>
  <conditionalFormatting sqref="P149">
    <cfRule type="cellIs" dxfId="6046" priority="2547" stopIfTrue="1" operator="equal">
      <formula>"INPUT STARTER IN COLUMN D"</formula>
    </cfRule>
  </conditionalFormatting>
  <conditionalFormatting sqref="P150">
    <cfRule type="cellIs" dxfId="6045" priority="2546" stopIfTrue="1" operator="equal">
      <formula>"INPUT STARTER IN COLUMN D"</formula>
    </cfRule>
  </conditionalFormatting>
  <conditionalFormatting sqref="P151">
    <cfRule type="cellIs" dxfId="6044" priority="2545" stopIfTrue="1" operator="equal">
      <formula>"INPUT STARTER IN COLUMN D"</formula>
    </cfRule>
  </conditionalFormatting>
  <conditionalFormatting sqref="P152">
    <cfRule type="cellIs" dxfId="6043" priority="2544" stopIfTrue="1" operator="equal">
      <formula>"INPUT STARTER IN COLUMN D"</formula>
    </cfRule>
  </conditionalFormatting>
  <conditionalFormatting sqref="P153">
    <cfRule type="cellIs" dxfId="6042" priority="2543" stopIfTrue="1" operator="equal">
      <formula>"INPUT STARTER IN COLUMN D"</formula>
    </cfRule>
  </conditionalFormatting>
  <conditionalFormatting sqref="P154">
    <cfRule type="cellIs" dxfId="6041" priority="2542" stopIfTrue="1" operator="equal">
      <formula>"INPUT STARTER IN COLUMN D"</formula>
    </cfRule>
  </conditionalFormatting>
  <conditionalFormatting sqref="P155">
    <cfRule type="cellIs" dxfId="6040" priority="2541" stopIfTrue="1" operator="equal">
      <formula>"INPUT STARTER IN COLUMN D"</formula>
    </cfRule>
  </conditionalFormatting>
  <conditionalFormatting sqref="P157">
    <cfRule type="cellIs" dxfId="6039" priority="2540" stopIfTrue="1" operator="equal">
      <formula>"INPUT STARTER IN COLUMN D"</formula>
    </cfRule>
  </conditionalFormatting>
  <conditionalFormatting sqref="P158">
    <cfRule type="cellIs" dxfId="6038" priority="2539" stopIfTrue="1" operator="equal">
      <formula>"INPUT STARTER IN COLUMN D"</formula>
    </cfRule>
  </conditionalFormatting>
  <conditionalFormatting sqref="P159">
    <cfRule type="cellIs" dxfId="6037" priority="2538" stopIfTrue="1" operator="equal">
      <formula>"INPUT STARTER IN COLUMN D"</formula>
    </cfRule>
  </conditionalFormatting>
  <conditionalFormatting sqref="P160">
    <cfRule type="cellIs" dxfId="6036" priority="2537" stopIfTrue="1" operator="equal">
      <formula>"INPUT STARTER IN COLUMN D"</formula>
    </cfRule>
  </conditionalFormatting>
  <conditionalFormatting sqref="P161">
    <cfRule type="cellIs" dxfId="6035" priority="2536" stopIfTrue="1" operator="equal">
      <formula>"INPUT STARTER IN COLUMN D"</formula>
    </cfRule>
  </conditionalFormatting>
  <conditionalFormatting sqref="P162">
    <cfRule type="cellIs" dxfId="6034" priority="2535" stopIfTrue="1" operator="equal">
      <formula>"INPUT STARTER IN COLUMN D"</formula>
    </cfRule>
  </conditionalFormatting>
  <conditionalFormatting sqref="P163">
    <cfRule type="cellIs" dxfId="6033" priority="2534" stopIfTrue="1" operator="equal">
      <formula>"INPUT STARTER IN COLUMN D"</formula>
    </cfRule>
  </conditionalFormatting>
  <conditionalFormatting sqref="P165">
    <cfRule type="cellIs" dxfId="6032" priority="2533" stopIfTrue="1" operator="equal">
      <formula>"INPUT STARTER IN COLUMN D"</formula>
    </cfRule>
  </conditionalFormatting>
  <conditionalFormatting sqref="P166">
    <cfRule type="cellIs" dxfId="6031" priority="2532" stopIfTrue="1" operator="equal">
      <formula>"INPUT STARTER IN COLUMN D"</formula>
    </cfRule>
  </conditionalFormatting>
  <conditionalFormatting sqref="P167">
    <cfRule type="cellIs" dxfId="6030" priority="2531" stopIfTrue="1" operator="equal">
      <formula>"INPUT STARTER IN COLUMN D"</formula>
    </cfRule>
  </conditionalFormatting>
  <conditionalFormatting sqref="P168">
    <cfRule type="cellIs" dxfId="6029" priority="2530" stopIfTrue="1" operator="equal">
      <formula>"INPUT STARTER IN COLUMN D"</formula>
    </cfRule>
  </conditionalFormatting>
  <conditionalFormatting sqref="P169">
    <cfRule type="cellIs" dxfId="6028" priority="2529" stopIfTrue="1" operator="equal">
      <formula>"INPUT STARTER IN COLUMN D"</formula>
    </cfRule>
  </conditionalFormatting>
  <conditionalFormatting sqref="P170">
    <cfRule type="cellIs" dxfId="6027" priority="2528" stopIfTrue="1" operator="equal">
      <formula>"INPUT STARTER IN COLUMN D"</formula>
    </cfRule>
  </conditionalFormatting>
  <conditionalFormatting sqref="P171">
    <cfRule type="cellIs" dxfId="6026" priority="2527" stopIfTrue="1" operator="equal">
      <formula>"INPUT STARTER IN COLUMN D"</formula>
    </cfRule>
  </conditionalFormatting>
  <conditionalFormatting sqref="P172">
    <cfRule type="cellIs" dxfId="6025" priority="2526" stopIfTrue="1" operator="equal">
      <formula>"INPUT STARTER IN COLUMN D"</formula>
    </cfRule>
  </conditionalFormatting>
  <conditionalFormatting sqref="P173">
    <cfRule type="cellIs" dxfId="6024" priority="2525" stopIfTrue="1" operator="equal">
      <formula>"INPUT STARTER IN COLUMN D"</formula>
    </cfRule>
  </conditionalFormatting>
  <conditionalFormatting sqref="P174">
    <cfRule type="cellIs" dxfId="6023" priority="2524" stopIfTrue="1" operator="equal">
      <formula>"INPUT STARTER IN COLUMN D"</formula>
    </cfRule>
  </conditionalFormatting>
  <conditionalFormatting sqref="P176">
    <cfRule type="cellIs" dxfId="6022" priority="2523" stopIfTrue="1" operator="equal">
      <formula>"INPUT STARTER IN COLUMN D"</formula>
    </cfRule>
  </conditionalFormatting>
  <conditionalFormatting sqref="P177">
    <cfRule type="cellIs" dxfId="6021" priority="2522" stopIfTrue="1" operator="equal">
      <formula>"INPUT STARTER IN COLUMN D"</formula>
    </cfRule>
  </conditionalFormatting>
  <conditionalFormatting sqref="P178">
    <cfRule type="cellIs" dxfId="6020" priority="2521" stopIfTrue="1" operator="equal">
      <formula>"INPUT STARTER IN COLUMN D"</formula>
    </cfRule>
  </conditionalFormatting>
  <conditionalFormatting sqref="P179">
    <cfRule type="cellIs" dxfId="6019" priority="2520" stopIfTrue="1" operator="equal">
      <formula>"INPUT STARTER IN COLUMN D"</formula>
    </cfRule>
  </conditionalFormatting>
  <conditionalFormatting sqref="P180">
    <cfRule type="cellIs" dxfId="6018" priority="2519" stopIfTrue="1" operator="equal">
      <formula>"INPUT STARTER IN COLUMN D"</formula>
    </cfRule>
  </conditionalFormatting>
  <conditionalFormatting sqref="P181">
    <cfRule type="cellIs" dxfId="6017" priority="2518" stopIfTrue="1" operator="equal">
      <formula>"INPUT STARTER IN COLUMN D"</formula>
    </cfRule>
  </conditionalFormatting>
  <conditionalFormatting sqref="P182">
    <cfRule type="cellIs" dxfId="6016" priority="2517" stopIfTrue="1" operator="equal">
      <formula>"INPUT STARTER IN COLUMN D"</formula>
    </cfRule>
  </conditionalFormatting>
  <conditionalFormatting sqref="P183">
    <cfRule type="cellIs" dxfId="6015" priority="2516" stopIfTrue="1" operator="equal">
      <formula>"INPUT STARTER IN COLUMN D"</formula>
    </cfRule>
  </conditionalFormatting>
  <conditionalFormatting sqref="P184">
    <cfRule type="cellIs" dxfId="6014" priority="2515" stopIfTrue="1" operator="equal">
      <formula>"INPUT STARTER IN COLUMN D"</formula>
    </cfRule>
  </conditionalFormatting>
  <conditionalFormatting sqref="P185">
    <cfRule type="cellIs" dxfId="6013" priority="2514" stopIfTrue="1" operator="equal">
      <formula>"INPUT STARTER IN COLUMN D"</formula>
    </cfRule>
  </conditionalFormatting>
  <conditionalFormatting sqref="AK3:AK22">
    <cfRule type="cellIs" dxfId="6012" priority="2513" stopIfTrue="1" operator="equal">
      <formula>"must average at least 5 innings per start"</formula>
    </cfRule>
  </conditionalFormatting>
  <conditionalFormatting sqref="AK23">
    <cfRule type="cellIs" dxfId="6011" priority="2512" stopIfTrue="1" operator="equal">
      <formula>"must have 162 starts"</formula>
    </cfRule>
  </conditionalFormatting>
  <conditionalFormatting sqref="AH3:AH22">
    <cfRule type="cellIs" dxfId="6010" priority="2511" stopIfTrue="1" operator="equal">
      <formula>"must average at least 5 innings per start"</formula>
    </cfRule>
  </conditionalFormatting>
  <conditionalFormatting sqref="AH23">
    <cfRule type="cellIs" dxfId="6009" priority="2510" stopIfTrue="1" operator="equal">
      <formula>"must have 162 starts"</formula>
    </cfRule>
  </conditionalFormatting>
  <conditionalFormatting sqref="AG3:AG22">
    <cfRule type="cellIs" dxfId="6008" priority="2509" stopIfTrue="1" operator="equal">
      <formula>"must average at least 5 innings per start"</formula>
    </cfRule>
  </conditionalFormatting>
  <conditionalFormatting sqref="AG23">
    <cfRule type="cellIs" dxfId="6007" priority="2508" stopIfTrue="1" operator="equal">
      <formula>"must have 162 starts"</formula>
    </cfRule>
  </conditionalFormatting>
  <conditionalFormatting sqref="AK3:AK22">
    <cfRule type="cellIs" dxfId="6006" priority="2507" stopIfTrue="1" operator="equal">
      <formula>"must average at least 5 innings per start"</formula>
    </cfRule>
  </conditionalFormatting>
  <conditionalFormatting sqref="AK23">
    <cfRule type="cellIs" dxfId="6005" priority="2506" stopIfTrue="1" operator="equal">
      <formula>"must have 162 starts"</formula>
    </cfRule>
  </conditionalFormatting>
  <conditionalFormatting sqref="AH3:AH22">
    <cfRule type="cellIs" dxfId="6004" priority="2505" stopIfTrue="1" operator="equal">
      <formula>"must average at least 5 innings per start"</formula>
    </cfRule>
  </conditionalFormatting>
  <conditionalFormatting sqref="AH23">
    <cfRule type="cellIs" dxfId="6003" priority="2504" stopIfTrue="1" operator="equal">
      <formula>"must have 162 starts"</formula>
    </cfRule>
  </conditionalFormatting>
  <conditionalFormatting sqref="AG3:AG22">
    <cfRule type="cellIs" dxfId="6002" priority="2503" stopIfTrue="1" operator="equal">
      <formula>"must average at least 5 innings per start"</formula>
    </cfRule>
  </conditionalFormatting>
  <conditionalFormatting sqref="AG23">
    <cfRule type="cellIs" dxfId="6001" priority="2502" stopIfTrue="1" operator="equal">
      <formula>"must have 162 starts"</formula>
    </cfRule>
  </conditionalFormatting>
  <conditionalFormatting sqref="AK3:AK22">
    <cfRule type="cellIs" dxfId="6000" priority="2501" stopIfTrue="1" operator="equal">
      <formula>"must average at least 5 innings per start"</formula>
    </cfRule>
  </conditionalFormatting>
  <conditionalFormatting sqref="AK23">
    <cfRule type="cellIs" dxfId="5999" priority="2500" stopIfTrue="1" operator="equal">
      <formula>"must have 162 starts"</formula>
    </cfRule>
  </conditionalFormatting>
  <conditionalFormatting sqref="AH3:AH22">
    <cfRule type="cellIs" dxfId="5998" priority="2499" stopIfTrue="1" operator="equal">
      <formula>"must average at least 5 innings per start"</formula>
    </cfRule>
  </conditionalFormatting>
  <conditionalFormatting sqref="AH23">
    <cfRule type="cellIs" dxfId="5997" priority="2498" stopIfTrue="1" operator="equal">
      <formula>"must have 162 starts"</formula>
    </cfRule>
  </conditionalFormatting>
  <conditionalFormatting sqref="AG3:AG22">
    <cfRule type="cellIs" dxfId="5996" priority="2497" stopIfTrue="1" operator="equal">
      <formula>"must average at least 5 innings per start"</formula>
    </cfRule>
  </conditionalFormatting>
  <conditionalFormatting sqref="AG23">
    <cfRule type="cellIs" dxfId="5995" priority="2496" stopIfTrue="1" operator="equal">
      <formula>"must have 162 starts"</formula>
    </cfRule>
  </conditionalFormatting>
  <conditionalFormatting sqref="AK3:AK22">
    <cfRule type="cellIs" dxfId="5994" priority="2495" stopIfTrue="1" operator="equal">
      <formula>"must average at least 5 innings per start"</formula>
    </cfRule>
  </conditionalFormatting>
  <conditionalFormatting sqref="AK23">
    <cfRule type="cellIs" dxfId="5993" priority="2494" stopIfTrue="1" operator="equal">
      <formula>"must have 162 starts"</formula>
    </cfRule>
  </conditionalFormatting>
  <conditionalFormatting sqref="AH3:AH22">
    <cfRule type="cellIs" dxfId="5992" priority="2493" stopIfTrue="1" operator="equal">
      <formula>"must average at least 5 innings per start"</formula>
    </cfRule>
  </conditionalFormatting>
  <conditionalFormatting sqref="AH23">
    <cfRule type="cellIs" dxfId="5991" priority="2492" stopIfTrue="1" operator="equal">
      <formula>"must have 162 starts"</formula>
    </cfRule>
  </conditionalFormatting>
  <conditionalFormatting sqref="AG3:AG22">
    <cfRule type="cellIs" dxfId="5990" priority="2491" stopIfTrue="1" operator="equal">
      <formula>"must average at least 5 innings per start"</formula>
    </cfRule>
  </conditionalFormatting>
  <conditionalFormatting sqref="AG23">
    <cfRule type="cellIs" dxfId="5989" priority="2490" stopIfTrue="1" operator="equal">
      <formula>"must have 162 starts"</formula>
    </cfRule>
  </conditionalFormatting>
  <conditionalFormatting sqref="AG3:AG22">
    <cfRule type="cellIs" dxfId="5988" priority="2489" stopIfTrue="1" operator="equal">
      <formula>"must average at least 5 innings per start"</formula>
    </cfRule>
  </conditionalFormatting>
  <conditionalFormatting sqref="AG23">
    <cfRule type="cellIs" dxfId="5987" priority="2488" stopIfTrue="1" operator="equal">
      <formula>"must have 162 starts"</formula>
    </cfRule>
  </conditionalFormatting>
  <conditionalFormatting sqref="AK3:AK22">
    <cfRule type="cellIs" dxfId="5986" priority="2487" stopIfTrue="1" operator="equal">
      <formula>"must average at least 5 innings per start"</formula>
    </cfRule>
  </conditionalFormatting>
  <conditionalFormatting sqref="AK23">
    <cfRule type="cellIs" dxfId="5985" priority="2486" stopIfTrue="1" operator="equal">
      <formula>"must have 162 starts"</formula>
    </cfRule>
  </conditionalFormatting>
  <conditionalFormatting sqref="AK3:AK22">
    <cfRule type="cellIs" dxfId="5984" priority="2485" stopIfTrue="1" operator="equal">
      <formula>"must average at least 5 innings per start"</formula>
    </cfRule>
  </conditionalFormatting>
  <conditionalFormatting sqref="AK23">
    <cfRule type="cellIs" dxfId="5983" priority="2484" stopIfTrue="1" operator="equal">
      <formula>"must have 162 starts"</formula>
    </cfRule>
  </conditionalFormatting>
  <conditionalFormatting sqref="AK3:AK22">
    <cfRule type="cellIs" dxfId="5982" priority="2483" stopIfTrue="1" operator="equal">
      <formula>"must average at least 5 innings per start"</formula>
    </cfRule>
  </conditionalFormatting>
  <conditionalFormatting sqref="AK23">
    <cfRule type="cellIs" dxfId="5981" priority="2482" stopIfTrue="1" operator="equal">
      <formula>"must have 162 starts"</formula>
    </cfRule>
  </conditionalFormatting>
  <conditionalFormatting sqref="AK3:AK22">
    <cfRule type="cellIs" dxfId="5980" priority="2481" stopIfTrue="1" operator="equal">
      <formula>"must average at least 5 innings per start"</formula>
    </cfRule>
  </conditionalFormatting>
  <conditionalFormatting sqref="AK23">
    <cfRule type="cellIs" dxfId="5979" priority="2480" stopIfTrue="1" operator="equal">
      <formula>"must have 162 starts"</formula>
    </cfRule>
  </conditionalFormatting>
  <conditionalFormatting sqref="AK3:AK22">
    <cfRule type="cellIs" dxfId="5978" priority="2479" stopIfTrue="1" operator="equal">
      <formula>"must average at least 5 innings per start"</formula>
    </cfRule>
  </conditionalFormatting>
  <conditionalFormatting sqref="AK23">
    <cfRule type="cellIs" dxfId="5977" priority="2478" stopIfTrue="1" operator="equal">
      <formula>"must have 162 starts"</formula>
    </cfRule>
  </conditionalFormatting>
  <conditionalFormatting sqref="AK3:AK22">
    <cfRule type="cellIs" dxfId="5976" priority="2477" stopIfTrue="1" operator="equal">
      <formula>"must average at least 5 innings per start"</formula>
    </cfRule>
  </conditionalFormatting>
  <conditionalFormatting sqref="AK23">
    <cfRule type="cellIs" dxfId="5975" priority="2476" stopIfTrue="1" operator="equal">
      <formula>"must have 162 starts"</formula>
    </cfRule>
  </conditionalFormatting>
  <conditionalFormatting sqref="AK3:AK22">
    <cfRule type="cellIs" dxfId="5974" priority="2475" stopIfTrue="1" operator="equal">
      <formula>"must average at least 5 innings per start"</formula>
    </cfRule>
  </conditionalFormatting>
  <conditionalFormatting sqref="AK23">
    <cfRule type="cellIs" dxfId="5973" priority="2474" stopIfTrue="1" operator="equal">
      <formula>"must have 162 starts"</formula>
    </cfRule>
  </conditionalFormatting>
  <conditionalFormatting sqref="AH3:AH22">
    <cfRule type="cellIs" dxfId="5972" priority="2473" stopIfTrue="1" operator="equal">
      <formula>"must average at least 5 innings per start"</formula>
    </cfRule>
  </conditionalFormatting>
  <conditionalFormatting sqref="AH23">
    <cfRule type="cellIs" dxfId="5971" priority="2472" stopIfTrue="1" operator="equal">
      <formula>"must have 162 starts"</formula>
    </cfRule>
  </conditionalFormatting>
  <conditionalFormatting sqref="AG3:AG22">
    <cfRule type="cellIs" dxfId="5970" priority="2471" stopIfTrue="1" operator="equal">
      <formula>"must average at least 5 innings per start"</formula>
    </cfRule>
  </conditionalFormatting>
  <conditionalFormatting sqref="AG23">
    <cfRule type="cellIs" dxfId="5969" priority="2470" stopIfTrue="1" operator="equal">
      <formula>"must have 162 starts"</formula>
    </cfRule>
  </conditionalFormatting>
  <conditionalFormatting sqref="AK3:AK22">
    <cfRule type="cellIs" dxfId="5968" priority="2469" stopIfTrue="1" operator="equal">
      <formula>"must average at least 5 innings per start"</formula>
    </cfRule>
  </conditionalFormatting>
  <conditionalFormatting sqref="AK23">
    <cfRule type="cellIs" dxfId="5967" priority="2468" stopIfTrue="1" operator="equal">
      <formula>"must have 162 starts"</formula>
    </cfRule>
  </conditionalFormatting>
  <conditionalFormatting sqref="AK3:AK22">
    <cfRule type="cellIs" dxfId="5966" priority="2467" stopIfTrue="1" operator="equal">
      <formula>"must average at least 5 innings per start"</formula>
    </cfRule>
  </conditionalFormatting>
  <conditionalFormatting sqref="AK23">
    <cfRule type="cellIs" dxfId="5965" priority="2466" stopIfTrue="1" operator="equal">
      <formula>"must have 162 starts"</formula>
    </cfRule>
  </conditionalFormatting>
  <conditionalFormatting sqref="AK3:AK22">
    <cfRule type="cellIs" dxfId="5964" priority="2465" stopIfTrue="1" operator="equal">
      <formula>"must average at least 5 innings per start"</formula>
    </cfRule>
  </conditionalFormatting>
  <conditionalFormatting sqref="AK23">
    <cfRule type="cellIs" dxfId="5963" priority="2464" stopIfTrue="1" operator="equal">
      <formula>"must have 162 starts"</formula>
    </cfRule>
  </conditionalFormatting>
  <conditionalFormatting sqref="AK3:AK22">
    <cfRule type="cellIs" dxfId="5962" priority="2463" stopIfTrue="1" operator="equal">
      <formula>"must average at least 5 innings per start"</formula>
    </cfRule>
  </conditionalFormatting>
  <conditionalFormatting sqref="AK23">
    <cfRule type="cellIs" dxfId="5961" priority="2462" stopIfTrue="1" operator="equal">
      <formula>"must have 162 starts"</formula>
    </cfRule>
  </conditionalFormatting>
  <conditionalFormatting sqref="AK3:AK22">
    <cfRule type="cellIs" dxfId="5960" priority="2461" stopIfTrue="1" operator="equal">
      <formula>"must average at least 5 innings per start"</formula>
    </cfRule>
  </conditionalFormatting>
  <conditionalFormatting sqref="AK23">
    <cfRule type="cellIs" dxfId="5959" priority="2460" stopIfTrue="1" operator="equal">
      <formula>"must have 162 starts"</formula>
    </cfRule>
  </conditionalFormatting>
  <conditionalFormatting sqref="AK3:AK22">
    <cfRule type="cellIs" dxfId="5958" priority="2459" stopIfTrue="1" operator="equal">
      <formula>"must average at least 5 innings per start"</formula>
    </cfRule>
  </conditionalFormatting>
  <conditionalFormatting sqref="AK23">
    <cfRule type="cellIs" dxfId="5957" priority="2458" stopIfTrue="1" operator="equal">
      <formula>"must have 162 starts"</formula>
    </cfRule>
  </conditionalFormatting>
  <conditionalFormatting sqref="AK3:AK22">
    <cfRule type="cellIs" dxfId="5956" priority="2457" stopIfTrue="1" operator="equal">
      <formula>"must average at least 5 innings per start"</formula>
    </cfRule>
  </conditionalFormatting>
  <conditionalFormatting sqref="AK23">
    <cfRule type="cellIs" dxfId="5955" priority="2456" stopIfTrue="1" operator="equal">
      <formula>"must have 162 starts"</formula>
    </cfRule>
  </conditionalFormatting>
  <conditionalFormatting sqref="AK3:AK22">
    <cfRule type="cellIs" dxfId="5954" priority="2455" stopIfTrue="1" operator="equal">
      <formula>"must average at least 5 innings per start"</formula>
    </cfRule>
  </conditionalFormatting>
  <conditionalFormatting sqref="AK23">
    <cfRule type="cellIs" dxfId="5953" priority="2454" stopIfTrue="1" operator="equal">
      <formula>"must have 162 starts"</formula>
    </cfRule>
  </conditionalFormatting>
  <conditionalFormatting sqref="AG3:AG22">
    <cfRule type="cellIs" dxfId="5952" priority="2453" stopIfTrue="1" operator="equal">
      <formula>"must average at least 5 innings per start"</formula>
    </cfRule>
  </conditionalFormatting>
  <conditionalFormatting sqref="AG23">
    <cfRule type="cellIs" dxfId="5951" priority="2452" stopIfTrue="1" operator="equal">
      <formula>"must have 162 starts"</formula>
    </cfRule>
  </conditionalFormatting>
  <conditionalFormatting sqref="AK3:AK22">
    <cfRule type="cellIs" dxfId="5950" priority="2451" stopIfTrue="1" operator="equal">
      <formula>"must average at least 5 innings per start"</formula>
    </cfRule>
  </conditionalFormatting>
  <conditionalFormatting sqref="AK23">
    <cfRule type="cellIs" dxfId="5949" priority="2450" stopIfTrue="1" operator="equal">
      <formula>"must have 162 starts"</formula>
    </cfRule>
  </conditionalFormatting>
  <conditionalFormatting sqref="AK3:AK22">
    <cfRule type="cellIs" dxfId="5948" priority="2449" stopIfTrue="1" operator="equal">
      <formula>"must average at least 5 innings per start"</formula>
    </cfRule>
  </conditionalFormatting>
  <conditionalFormatting sqref="AK23">
    <cfRule type="cellIs" dxfId="5947" priority="2448" stopIfTrue="1" operator="equal">
      <formula>"must have 162 starts"</formula>
    </cfRule>
  </conditionalFormatting>
  <conditionalFormatting sqref="AK3:AK22">
    <cfRule type="cellIs" dxfId="5946" priority="2447" stopIfTrue="1" operator="equal">
      <formula>"must average at least 5 innings per start"</formula>
    </cfRule>
  </conditionalFormatting>
  <conditionalFormatting sqref="AK23">
    <cfRule type="cellIs" dxfId="5945" priority="2446" stopIfTrue="1" operator="equal">
      <formula>"must have 162 starts"</formula>
    </cfRule>
  </conditionalFormatting>
  <conditionalFormatting sqref="AK3:AK22">
    <cfRule type="cellIs" dxfId="5944" priority="2445" stopIfTrue="1" operator="equal">
      <formula>"must average at least 5 innings per start"</formula>
    </cfRule>
  </conditionalFormatting>
  <conditionalFormatting sqref="AK23">
    <cfRule type="cellIs" dxfId="5943" priority="2444" stopIfTrue="1" operator="equal">
      <formula>"must have 162 starts"</formula>
    </cfRule>
  </conditionalFormatting>
  <conditionalFormatting sqref="AK3:AK22">
    <cfRule type="cellIs" dxfId="5942" priority="2443" stopIfTrue="1" operator="equal">
      <formula>"must average at least 5 innings per start"</formula>
    </cfRule>
  </conditionalFormatting>
  <conditionalFormatting sqref="AK23">
    <cfRule type="cellIs" dxfId="5941" priority="2442" stopIfTrue="1" operator="equal">
      <formula>"must have 162 starts"</formula>
    </cfRule>
  </conditionalFormatting>
  <conditionalFormatting sqref="AK3:AK22">
    <cfRule type="cellIs" dxfId="5940" priority="2441" stopIfTrue="1" operator="equal">
      <formula>"must average at least 5 innings per start"</formula>
    </cfRule>
  </conditionalFormatting>
  <conditionalFormatting sqref="AK23">
    <cfRule type="cellIs" dxfId="5939" priority="2440" stopIfTrue="1" operator="equal">
      <formula>"must have 162 starts"</formula>
    </cfRule>
  </conditionalFormatting>
  <conditionalFormatting sqref="AK3:AK22">
    <cfRule type="cellIs" dxfId="5938" priority="2439" stopIfTrue="1" operator="equal">
      <formula>"must average at least 5 innings per start"</formula>
    </cfRule>
  </conditionalFormatting>
  <conditionalFormatting sqref="AK23">
    <cfRule type="cellIs" dxfId="5937" priority="2438" stopIfTrue="1" operator="equal">
      <formula>"must have 162 starts"</formula>
    </cfRule>
  </conditionalFormatting>
  <conditionalFormatting sqref="AG3:AG22">
    <cfRule type="cellIs" dxfId="5936" priority="2437" stopIfTrue="1" operator="equal">
      <formula>"must average at least 5 innings per start"</formula>
    </cfRule>
  </conditionalFormatting>
  <conditionalFormatting sqref="AG23">
    <cfRule type="cellIs" dxfId="5935" priority="2436" stopIfTrue="1" operator="equal">
      <formula>"must have 162 starts"</formula>
    </cfRule>
  </conditionalFormatting>
  <conditionalFormatting sqref="AK3:AK22">
    <cfRule type="cellIs" dxfId="5934" priority="2435" stopIfTrue="1" operator="equal">
      <formula>"must average at least 5 innings per start"</formula>
    </cfRule>
  </conditionalFormatting>
  <conditionalFormatting sqref="AK23">
    <cfRule type="cellIs" dxfId="5933" priority="2434" stopIfTrue="1" operator="equal">
      <formula>"must have 162 starts"</formula>
    </cfRule>
  </conditionalFormatting>
  <conditionalFormatting sqref="AK3:AK22">
    <cfRule type="cellIs" dxfId="5932" priority="2433" stopIfTrue="1" operator="equal">
      <formula>"must average at least 5 innings per start"</formula>
    </cfRule>
  </conditionalFormatting>
  <conditionalFormatting sqref="AK23">
    <cfRule type="cellIs" dxfId="5931" priority="2432" stopIfTrue="1" operator="equal">
      <formula>"must have 162 starts"</formula>
    </cfRule>
  </conditionalFormatting>
  <conditionalFormatting sqref="AK3:AK22">
    <cfRule type="cellIs" dxfId="5930" priority="2431" stopIfTrue="1" operator="equal">
      <formula>"must average at least 5 innings per start"</formula>
    </cfRule>
  </conditionalFormatting>
  <conditionalFormatting sqref="AK23">
    <cfRule type="cellIs" dxfId="5929" priority="2430" stopIfTrue="1" operator="equal">
      <formula>"must have 162 starts"</formula>
    </cfRule>
  </conditionalFormatting>
  <conditionalFormatting sqref="AK3:AK22">
    <cfRule type="cellIs" dxfId="5928" priority="2429" stopIfTrue="1" operator="equal">
      <formula>"must average at least 5 innings per start"</formula>
    </cfRule>
  </conditionalFormatting>
  <conditionalFormatting sqref="AK23">
    <cfRule type="cellIs" dxfId="5927" priority="2428" stopIfTrue="1" operator="equal">
      <formula>"must have 162 starts"</formula>
    </cfRule>
  </conditionalFormatting>
  <conditionalFormatting sqref="AK3:AK22">
    <cfRule type="cellIs" dxfId="5926" priority="2427" stopIfTrue="1" operator="equal">
      <formula>"must average at least 5 innings per start"</formula>
    </cfRule>
  </conditionalFormatting>
  <conditionalFormatting sqref="AK23">
    <cfRule type="cellIs" dxfId="5925" priority="2426" stopIfTrue="1" operator="equal">
      <formula>"must have 162 starts"</formula>
    </cfRule>
  </conditionalFormatting>
  <conditionalFormatting sqref="AK3:AK22">
    <cfRule type="cellIs" dxfId="5924" priority="2425" stopIfTrue="1" operator="equal">
      <formula>"must average at least 5 innings per start"</formula>
    </cfRule>
  </conditionalFormatting>
  <conditionalFormatting sqref="AK23">
    <cfRule type="cellIs" dxfId="5923" priority="2424" stopIfTrue="1" operator="equal">
      <formula>"must have 162 starts"</formula>
    </cfRule>
  </conditionalFormatting>
  <conditionalFormatting sqref="AG3:AG22">
    <cfRule type="cellIs" dxfId="5922" priority="2423" stopIfTrue="1" operator="equal">
      <formula>"must average at least 5 innings per start"</formula>
    </cfRule>
  </conditionalFormatting>
  <conditionalFormatting sqref="AG23">
    <cfRule type="cellIs" dxfId="5921" priority="2422" stopIfTrue="1" operator="equal">
      <formula>"must have 162 starts"</formula>
    </cfRule>
  </conditionalFormatting>
  <conditionalFormatting sqref="AK3:AK22">
    <cfRule type="cellIs" dxfId="5920" priority="2421" stopIfTrue="1" operator="equal">
      <formula>"must average at least 5 innings per start"</formula>
    </cfRule>
  </conditionalFormatting>
  <conditionalFormatting sqref="AK23">
    <cfRule type="cellIs" dxfId="5919" priority="2420" stopIfTrue="1" operator="equal">
      <formula>"must have 162 starts"</formula>
    </cfRule>
  </conditionalFormatting>
  <conditionalFormatting sqref="AK3:AK22">
    <cfRule type="cellIs" dxfId="5918" priority="2419" stopIfTrue="1" operator="equal">
      <formula>"must average at least 5 innings per start"</formula>
    </cfRule>
  </conditionalFormatting>
  <conditionalFormatting sqref="AK23">
    <cfRule type="cellIs" dxfId="5917" priority="2418" stopIfTrue="1" operator="equal">
      <formula>"must have 162 starts"</formula>
    </cfRule>
  </conditionalFormatting>
  <conditionalFormatting sqref="AK3:AK22">
    <cfRule type="cellIs" dxfId="5916" priority="2417" stopIfTrue="1" operator="equal">
      <formula>"must average at least 5 innings per start"</formula>
    </cfRule>
  </conditionalFormatting>
  <conditionalFormatting sqref="AK23">
    <cfRule type="cellIs" dxfId="5915" priority="2416" stopIfTrue="1" operator="equal">
      <formula>"must have 162 starts"</formula>
    </cfRule>
  </conditionalFormatting>
  <conditionalFormatting sqref="AK3:AK22">
    <cfRule type="cellIs" dxfId="5914" priority="2415" stopIfTrue="1" operator="equal">
      <formula>"must average at least 5 innings per start"</formula>
    </cfRule>
  </conditionalFormatting>
  <conditionalFormatting sqref="AK23">
    <cfRule type="cellIs" dxfId="5913" priority="2414" stopIfTrue="1" operator="equal">
      <formula>"must have 162 starts"</formula>
    </cfRule>
  </conditionalFormatting>
  <conditionalFormatting sqref="AK3:AK22">
    <cfRule type="cellIs" dxfId="5912" priority="2413" stopIfTrue="1" operator="equal">
      <formula>"must average at least 5 innings per start"</formula>
    </cfRule>
  </conditionalFormatting>
  <conditionalFormatting sqref="AK23">
    <cfRule type="cellIs" dxfId="5911" priority="2412" stopIfTrue="1" operator="equal">
      <formula>"must have 162 starts"</formula>
    </cfRule>
  </conditionalFormatting>
  <conditionalFormatting sqref="AG3:AG22">
    <cfRule type="cellIs" dxfId="5910" priority="2411" stopIfTrue="1" operator="equal">
      <formula>"must average at least 5 innings per start"</formula>
    </cfRule>
  </conditionalFormatting>
  <conditionalFormatting sqref="AG23">
    <cfRule type="cellIs" dxfId="5909" priority="2410" stopIfTrue="1" operator="equal">
      <formula>"must have 162 starts"</formula>
    </cfRule>
  </conditionalFormatting>
  <conditionalFormatting sqref="AK3:AK22">
    <cfRule type="cellIs" dxfId="5908" priority="2409" stopIfTrue="1" operator="equal">
      <formula>"must average at least 5 innings per start"</formula>
    </cfRule>
  </conditionalFormatting>
  <conditionalFormatting sqref="AK23">
    <cfRule type="cellIs" dxfId="5907" priority="2408" stopIfTrue="1" operator="equal">
      <formula>"must have 162 starts"</formula>
    </cfRule>
  </conditionalFormatting>
  <conditionalFormatting sqref="AK3:AK22">
    <cfRule type="cellIs" dxfId="5906" priority="2407" stopIfTrue="1" operator="equal">
      <formula>"must average at least 5 innings per start"</formula>
    </cfRule>
  </conditionalFormatting>
  <conditionalFormatting sqref="AK23">
    <cfRule type="cellIs" dxfId="5905" priority="2406" stopIfTrue="1" operator="equal">
      <formula>"must have 162 starts"</formula>
    </cfRule>
  </conditionalFormatting>
  <conditionalFormatting sqref="AK3:AK22">
    <cfRule type="cellIs" dxfId="5904" priority="2405" stopIfTrue="1" operator="equal">
      <formula>"must average at least 5 innings per start"</formula>
    </cfRule>
  </conditionalFormatting>
  <conditionalFormatting sqref="AK23">
    <cfRule type="cellIs" dxfId="5903" priority="2404" stopIfTrue="1" operator="equal">
      <formula>"must have 162 starts"</formula>
    </cfRule>
  </conditionalFormatting>
  <conditionalFormatting sqref="AK3:AK22">
    <cfRule type="cellIs" dxfId="5902" priority="2403" stopIfTrue="1" operator="equal">
      <formula>"must average at least 5 innings per start"</formula>
    </cfRule>
  </conditionalFormatting>
  <conditionalFormatting sqref="AK23">
    <cfRule type="cellIs" dxfId="5901" priority="2402" stopIfTrue="1" operator="equal">
      <formula>"must have 162 starts"</formula>
    </cfRule>
  </conditionalFormatting>
  <conditionalFormatting sqref="AG3:AG22">
    <cfRule type="cellIs" dxfId="5900" priority="2401" stopIfTrue="1" operator="equal">
      <formula>"must average at least 5 innings per start"</formula>
    </cfRule>
  </conditionalFormatting>
  <conditionalFormatting sqref="AG23">
    <cfRule type="cellIs" dxfId="5899" priority="2400" stopIfTrue="1" operator="equal">
      <formula>"must have 162 starts"</formula>
    </cfRule>
  </conditionalFormatting>
  <conditionalFormatting sqref="AK3:AK22">
    <cfRule type="cellIs" dxfId="5898" priority="2399" stopIfTrue="1" operator="equal">
      <formula>"must average at least 5 innings per start"</formula>
    </cfRule>
  </conditionalFormatting>
  <conditionalFormatting sqref="AK23">
    <cfRule type="cellIs" dxfId="5897" priority="2398" stopIfTrue="1" operator="equal">
      <formula>"must have 162 starts"</formula>
    </cfRule>
  </conditionalFormatting>
  <conditionalFormatting sqref="AK3:AK22">
    <cfRule type="cellIs" dxfId="5896" priority="2397" stopIfTrue="1" operator="equal">
      <formula>"must average at least 5 innings per start"</formula>
    </cfRule>
  </conditionalFormatting>
  <conditionalFormatting sqref="AK23">
    <cfRule type="cellIs" dxfId="5895" priority="2396" stopIfTrue="1" operator="equal">
      <formula>"must have 162 starts"</formula>
    </cfRule>
  </conditionalFormatting>
  <conditionalFormatting sqref="AK3:AK22">
    <cfRule type="cellIs" dxfId="5894" priority="2395" stopIfTrue="1" operator="equal">
      <formula>"must average at least 5 innings per start"</formula>
    </cfRule>
  </conditionalFormatting>
  <conditionalFormatting sqref="AK23">
    <cfRule type="cellIs" dxfId="5893" priority="2394" stopIfTrue="1" operator="equal">
      <formula>"must have 162 starts"</formula>
    </cfRule>
  </conditionalFormatting>
  <conditionalFormatting sqref="AG3:AG22">
    <cfRule type="cellIs" dxfId="5892" priority="2393" stopIfTrue="1" operator="equal">
      <formula>"must average at least 5 innings per start"</formula>
    </cfRule>
  </conditionalFormatting>
  <conditionalFormatting sqref="AG23">
    <cfRule type="cellIs" dxfId="5891" priority="2392" stopIfTrue="1" operator="equal">
      <formula>"must have 162 starts"</formula>
    </cfRule>
  </conditionalFormatting>
  <conditionalFormatting sqref="AK3:AK22">
    <cfRule type="cellIs" dxfId="5890" priority="2391" stopIfTrue="1" operator="equal">
      <formula>"must average at least 5 innings per start"</formula>
    </cfRule>
  </conditionalFormatting>
  <conditionalFormatting sqref="AK23">
    <cfRule type="cellIs" dxfId="5889" priority="2390" stopIfTrue="1" operator="equal">
      <formula>"must have 162 starts"</formula>
    </cfRule>
  </conditionalFormatting>
  <conditionalFormatting sqref="AG3:AG22">
    <cfRule type="cellIs" dxfId="5888" priority="2389" stopIfTrue="1" operator="equal">
      <formula>"must average at least 5 innings per start"</formula>
    </cfRule>
  </conditionalFormatting>
  <conditionalFormatting sqref="AG23">
    <cfRule type="cellIs" dxfId="5887" priority="2388" stopIfTrue="1" operator="equal">
      <formula>"must have 162 starts"</formula>
    </cfRule>
  </conditionalFormatting>
  <conditionalFormatting sqref="Q2">
    <cfRule type="cellIs" dxfId="5886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9701" divId="ROTcheck_9701" sourceType="sheet" destinationFile="C:\1kading\schedule\skedlou.html"/>
    <webPublishItem id="282" divId="ROTcheck_282" sourceType="range" sourceRef="A1:O193" destinationFile="C:\1kading\schedule\skedlou.html"/>
    <webPublishItem id="17718" divId="ROTcheck_17718" sourceType="range" sourceRef="A156:O185" destinationFile="C:\1kading\schedule\skedlou.html"/>
  </webPublishItems>
</worksheet>
</file>

<file path=xl/worksheets/sheet11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6" customWidth="1"/>
    <col min="2" max="2" width="3.85546875" style="6" customWidth="1"/>
    <col min="3" max="3" width="5.85546875" style="6" customWidth="1"/>
    <col min="4" max="4" width="26.28515625" style="4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21.285156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12</v>
      </c>
      <c r="AJ1" s="42" t="str">
        <f ca="1">IF(AJ187=162,"GOOD","BAD")</f>
        <v>GOOD</v>
      </c>
    </row>
    <row r="2" spans="1:36" ht="30.75" customHeight="1">
      <c r="A2" s="72" t="s">
        <v>11</v>
      </c>
      <c r="B2" s="72"/>
      <c r="C2" s="72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3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/>
      <c r="C3" s="33" t="s">
        <v>51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57</v>
      </c>
      <c r="T3" s="46" t="str">
        <f>IF(ISERROR((VLOOKUP(S3,Pitchers!$B$1:H$800,4,FALSE))),"",(VLOOKUP(S3,Pitchers!$B$1:H$800,4,FALSE)))</f>
        <v>LAD</v>
      </c>
      <c r="U3" s="45" t="str">
        <f>IF(ISERROR((VLOOKUP(S3,Pitchers!B$2:AA$795,10,FALSE))),"",(VLOOKUP(S3,Pitchers!B$2:AA$795,10,FALSE)))</f>
        <v>L</v>
      </c>
      <c r="V3" s="41"/>
      <c r="W3" s="46">
        <f>IF(ISERROR((VLOOKUP(S3,Pitchers!B$2:AA$795,13,FALSE))),"",(VLOOKUP(S3,Pitchers!B$2:AA$795,13,FALSE)))</f>
        <v>17</v>
      </c>
      <c r="X3" s="47">
        <f>IF(ISERROR((VLOOKUP(S3,Pitchers!B$2:AA$795,11,FALSE))),"",(VLOOKUP(S3,Pitchers!B$2:AA$795,11,FALSE)))</f>
        <v>233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XY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IND</v>
      </c>
    </row>
    <row r="4" spans="1:36" ht="12.75">
      <c r="A4" s="6">
        <v>4.0199999999999996</v>
      </c>
      <c r="B4" s="33"/>
      <c r="C4" s="33" t="s">
        <v>51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294</v>
      </c>
      <c r="T4" s="46" t="str">
        <f>IF(ISERROR((VLOOKUP(S4,Pitchers!$B$1:H$800,4,FALSE))),"",(VLOOKUP(S4,Pitchers!$B$1:H$800,4,FALSE)))</f>
        <v>MIA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10</v>
      </c>
      <c r="X4" s="47">
        <f>IF(ISERROR((VLOOKUP(S4,Pitchers!B$2:AA$795,11,FALSE))),"",(VLOOKUP(S4,Pitchers!B$2:AA$795,11,FALSE)))</f>
        <v>65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XY</v>
      </c>
      <c r="AC4" s="52" t="str">
        <f>IF(ISERROR((VLOOKUP(S4,Pitchers!B$2:AA$795,17,FALSE))),"",(VLOOKUP(S4,Pitchers!B$2:AA$795,17,FALSE)))</f>
        <v>Z</v>
      </c>
      <c r="AD4" s="53" t="str">
        <f>IF(ISERROR((VLOOKUP(S4,Pitchers!B$2:AA$795,18,FALSE))),"",(VLOOKUP(S4,Pitchers!B$2:AA$795,18,FALSE)))</f>
        <v>G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IND</v>
      </c>
    </row>
    <row r="5" spans="1:36" ht="12.75">
      <c r="A5" s="6">
        <v>4.03</v>
      </c>
      <c r="B5" s="33"/>
      <c r="C5" s="33" t="s">
        <v>51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1843</v>
      </c>
      <c r="T5" s="46" t="str">
        <f>IF(ISERROR((VLOOKUP(S5,Pitchers!$B$1:H$800,4,FALSE))),"",(VLOOKUP(S5,Pitchers!$B$1:H$800,4,FALSE)))</f>
        <v>WSN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9</v>
      </c>
      <c r="X5" s="47">
        <f>IF(ISERROR((VLOOKUP(S5,Pitchers!B$2:AA$795,11,FALSE))),"",(VLOOKUP(S5,Pitchers!B$2:AA$795,11,FALSE)))</f>
        <v>74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IND</v>
      </c>
    </row>
    <row r="6" spans="1:36" ht="12.75">
      <c r="A6" s="6">
        <v>4.04</v>
      </c>
      <c r="B6" s="33"/>
      <c r="C6" s="33" t="s">
        <v>51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675</v>
      </c>
      <c r="T6" s="46" t="str">
        <f>IF(ISERROR((VLOOKUP(S6,Pitchers!$B$1:H$800,4,FALSE))),"",(VLOOKUP(S6,Pitchers!$B$1:H$800,4,FALSE)))</f>
        <v>SEA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5</v>
      </c>
      <c r="X6" s="47">
        <f>IF(ISERROR((VLOOKUP(S6,Pitchers!B$2:AA$795,11,FALSE))),"",(VLOOKUP(S6,Pitchers!B$2:AA$795,11,FALSE)))</f>
        <v>170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>L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IND</v>
      </c>
    </row>
    <row r="7" spans="1:36" ht="12.75">
      <c r="A7" s="6">
        <v>4.05</v>
      </c>
      <c r="B7" s="34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526</v>
      </c>
      <c r="T7" s="46" t="str">
        <f>IF(ISERROR((VLOOKUP(S7,Pitchers!$B$1:H$800,4,FALSE))),"",(VLOOKUP(S7,Pitchers!$B$1:H$800,4,FALSE)))</f>
        <v>OAK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5</v>
      </c>
      <c r="X7" s="47">
        <f>IF(ISERROR((VLOOKUP(S7,Pitchers!B$2:AA$795,11,FALSE))),"",(VLOOKUP(S7,Pitchers!B$2:AA$795,11,FALSE)))</f>
        <v>29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>W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34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1487</v>
      </c>
      <c r="T8" s="46" t="str">
        <f>IF(ISERROR((VLOOKUP(S8,Pitchers!$B$1:H$800,4,FALSE))),"",(VLOOKUP(S8,Pitchers!$B$1:H$800,4,FALSE)))</f>
        <v>ATL</v>
      </c>
      <c r="U8" s="45" t="str">
        <f>IF(ISERROR((VLOOKUP(S8,Pitchers!B$2:AA$795,10,FALSE))),"",(VLOOKUP(S8,Pitchers!B$2:AA$795,10,FALSE)))</f>
        <v>L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26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W</v>
      </c>
      <c r="AD8" s="53" t="str">
        <f>IF(ISERROR((VLOOKUP(S8,Pitchers!B$2:AA$795,18,FALSE))),"",(VLOOKUP(S8,Pitchers!B$2:AA$795,18,FALSE)))</f>
        <v>L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IND</v>
      </c>
    </row>
    <row r="9" spans="1:36" ht="12.75">
      <c r="A9" s="6">
        <v>4.07</v>
      </c>
      <c r="B9" s="33"/>
      <c r="C9" s="33" t="s">
        <v>34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1749</v>
      </c>
      <c r="T9" s="46" t="str">
        <f>IF(ISERROR((VLOOKUP(S9,Pitchers!$B$1:H$800,4,FALSE))),"",(VLOOKUP(S9,Pitchers!$B$1:H$800,4,FALSE)))</f>
        <v>CHW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3</v>
      </c>
      <c r="X9" s="47">
        <f>IF(ISERROR((VLOOKUP(S9,Pitchers!B$2:AA$795,11,FALSE))),"",(VLOOKUP(S9,Pitchers!B$2:AA$795,11,FALSE)))</f>
        <v>7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XY</v>
      </c>
      <c r="AC9" s="52" t="str">
        <f>IF(ISERROR((VLOOKUP(S9,Pitchers!B$2:AA$795,17,FALSE))),"",(VLOOKUP(S9,Pitchers!B$2:AA$795,17,FALSE)))</f>
        <v>W</v>
      </c>
      <c r="AD9" s="53" t="str">
        <f>IF(ISERROR((VLOOKUP(S9,Pitchers!B$2:AA$795,18,FALSE))),"",(VLOOKUP(S9,Pitchers!B$2:AA$795,18,FALSE)))</f>
        <v>G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IND</v>
      </c>
    </row>
    <row r="10" spans="1:36" ht="12.75">
      <c r="A10" s="6">
        <v>4.08</v>
      </c>
      <c r="B10" s="33"/>
      <c r="C10" s="33" t="s">
        <v>34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1386</v>
      </c>
      <c r="T10" s="46" t="str">
        <f>IF(ISERROR((VLOOKUP(S10,Pitchers!$B$1:H$800,4,FALSE))),"",(VLOOKUP(S10,Pitchers!$B$1:H$800,4,FALSE)))</f>
        <v>NYM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3</v>
      </c>
      <c r="X10" s="47">
        <f>IF(ISERROR((VLOOKUP(S10,Pitchers!B$2:AA$795,11,FALSE))),"",(VLOOKUP(S10,Pitchers!B$2:AA$795,11,FALSE)))</f>
        <v>6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XY</v>
      </c>
      <c r="AC10" s="52" t="str">
        <f>IF(ISERROR((VLOOKUP(S10,Pitchers!B$2:AA$795,17,FALSE))),"",(VLOOKUP(S10,Pitchers!B$2:AA$795,17,FALSE)))</f>
        <v>Z</v>
      </c>
      <c r="AD10" s="53" t="str">
        <f>IF(ISERROR((VLOOKUP(S10,Pitchers!B$2:AA$795,18,FALSE))),"",(VLOOKUP(S10,Pitchers!B$2:AA$795,18,FALSE)))</f>
        <v>G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IND</v>
      </c>
    </row>
    <row r="11" spans="1:36" ht="12.75">
      <c r="A11" s="6">
        <v>4.09</v>
      </c>
      <c r="B11" s="33"/>
      <c r="C11" s="33" t="s">
        <v>34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 t="s">
        <v>639</v>
      </c>
      <c r="T11" s="46" t="str">
        <f>IF(ISERROR((VLOOKUP(S11,Pitchers!$B$1:H$800,4,FALSE))),"",(VLOOKUP(S11,Pitchers!$B$1:H$800,4,FALSE)))</f>
        <v>ATL</v>
      </c>
      <c r="U11" s="45" t="str">
        <f>IF(ISERROR((VLOOKUP(S11,Pitchers!B$2:AA$795,10,FALSE))),"",(VLOOKUP(S11,Pitchers!B$2:AA$795,10,FALSE)))</f>
        <v>L</v>
      </c>
      <c r="V11" s="41"/>
      <c r="W11" s="46">
        <f>IF(ISERROR((VLOOKUP(S11,Pitchers!B$2:AA$795,13,FALSE))),"",(VLOOKUP(S11,Pitchers!B$2:AA$795,13,FALSE)))</f>
        <v>2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 xml:space="preserve"> </v>
      </c>
      <c r="AD11" s="53" t="str">
        <f>IF(ISERROR((VLOOKUP(S11,Pitchers!B$2:AA$795,18,FALSE))),"",(VLOOKUP(S11,Pitchers!B$2:AA$795,18,FALSE)))</f>
        <v>M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IND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t="s">
        <v>1688</v>
      </c>
      <c r="T12" s="46" t="str">
        <f>IF(ISERROR((VLOOKUP(S12,Pitchers!$B$1:H$800,4,FALSE))),"",(VLOOKUP(S12,Pitchers!$B$1:H$800,4,FALSE)))</f>
        <v>LAD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1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>Z</v>
      </c>
      <c r="AD12" s="53" t="str">
        <f>IF(ISERROR((VLOOKUP(S12,Pitchers!B$2:AA$795,18,FALSE))),"",(VLOOKUP(S12,Pitchers!B$2:AA$795,18,FALSE)))</f>
        <v>L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 t="s">
        <v>32</v>
      </c>
      <c r="C13" s="33" t="s">
        <v>17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IND</v>
      </c>
    </row>
    <row r="14" spans="1:36" ht="12.75">
      <c r="A14" s="6">
        <v>4.12</v>
      </c>
      <c r="B14" s="33" t="s">
        <v>32</v>
      </c>
      <c r="C14" s="33" t="s">
        <v>17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IND</v>
      </c>
    </row>
    <row r="15" spans="1:36" ht="12.75">
      <c r="A15" s="6">
        <v>4.13</v>
      </c>
      <c r="B15" s="33" t="s">
        <v>32</v>
      </c>
      <c r="C15" s="33" t="s">
        <v>17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IND</v>
      </c>
    </row>
    <row r="16" spans="1:36" ht="12.75">
      <c r="A16" s="6">
        <v>4.1399999999999997</v>
      </c>
      <c r="B16" s="33" t="s">
        <v>32</v>
      </c>
      <c r="C16" s="33" t="s">
        <v>17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IND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41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IND</v>
      </c>
    </row>
    <row r="19" spans="1:36" ht="12.75">
      <c r="A19" s="6">
        <v>4.17</v>
      </c>
      <c r="B19" s="33"/>
      <c r="C19" s="33" t="s">
        <v>41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IND</v>
      </c>
    </row>
    <row r="20" spans="1:36" ht="12.75">
      <c r="A20" s="6">
        <v>4.18</v>
      </c>
      <c r="B20" s="33"/>
      <c r="C20" s="33" t="s">
        <v>41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IND</v>
      </c>
    </row>
    <row r="21" spans="1:36" ht="12.75">
      <c r="A21" s="6">
        <v>4.1900000000000004</v>
      </c>
      <c r="B21" s="33"/>
      <c r="C21" s="33" t="s">
        <v>41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IND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 t="s">
        <v>32</v>
      </c>
      <c r="C23" s="33" t="s">
        <v>53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IND</v>
      </c>
    </row>
    <row r="24" spans="1:36" ht="12.75">
      <c r="A24" s="6">
        <v>4.22</v>
      </c>
      <c r="B24" s="33" t="s">
        <v>32</v>
      </c>
      <c r="C24" s="33" t="s">
        <v>53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IND</v>
      </c>
    </row>
    <row r="25" spans="1:36" ht="12.75">
      <c r="A25" s="6">
        <v>4.2300000000000004</v>
      </c>
      <c r="B25" s="33" t="s">
        <v>32</v>
      </c>
      <c r="C25" s="33" t="s">
        <v>53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IND</v>
      </c>
    </row>
    <row r="26" spans="1:36" ht="12.75">
      <c r="A26" s="6">
        <v>4.24</v>
      </c>
      <c r="B26" s="33" t="s">
        <v>32</v>
      </c>
      <c r="C26" s="33" t="s">
        <v>53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IND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/>
      <c r="C28" s="33" t="s">
        <v>46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IND</v>
      </c>
    </row>
    <row r="29" spans="1:36" ht="12.75">
      <c r="A29" s="6">
        <v>4.2699999999999996</v>
      </c>
      <c r="B29" s="33"/>
      <c r="C29" s="33" t="s">
        <v>46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IND</v>
      </c>
    </row>
    <row r="30" spans="1:36" ht="12.75">
      <c r="A30" s="6">
        <v>4.28</v>
      </c>
      <c r="B30" s="33"/>
      <c r="C30" s="33" t="s">
        <v>46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IND</v>
      </c>
    </row>
    <row r="31" spans="1:36" ht="12.75">
      <c r="A31" s="6">
        <v>4.29</v>
      </c>
      <c r="B31" s="33"/>
      <c r="C31" s="33" t="s">
        <v>46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IND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 t="s">
        <v>32</v>
      </c>
      <c r="C33" s="33" t="s">
        <v>42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IND</v>
      </c>
    </row>
    <row r="34" spans="1:36" ht="12.75">
      <c r="A34" s="6">
        <v>5.0199999999999996</v>
      </c>
      <c r="B34" s="33" t="s">
        <v>32</v>
      </c>
      <c r="C34" s="33" t="s">
        <v>42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IND</v>
      </c>
    </row>
    <row r="35" spans="1:36" ht="12.75">
      <c r="A35" s="6">
        <v>5.03</v>
      </c>
      <c r="B35" s="33" t="s">
        <v>32</v>
      </c>
      <c r="C35" s="33" t="s">
        <v>42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IND</v>
      </c>
    </row>
    <row r="36" spans="1:36" ht="12.75">
      <c r="A36" s="6">
        <v>5.04</v>
      </c>
      <c r="B36" s="33" t="s">
        <v>32</v>
      </c>
      <c r="C36" s="33" t="s">
        <v>42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IND</v>
      </c>
    </row>
    <row r="37" spans="1:36" ht="12.75">
      <c r="A37" s="6">
        <v>5.05</v>
      </c>
      <c r="B37" s="33" t="s">
        <v>32</v>
      </c>
      <c r="C37" s="33" t="s">
        <v>13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IND</v>
      </c>
    </row>
    <row r="38" spans="1:36" ht="12.75">
      <c r="A38" s="6">
        <v>5.0599999999999996</v>
      </c>
      <c r="B38" s="33" t="s">
        <v>32</v>
      </c>
      <c r="C38" s="33" t="s">
        <v>13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IND</v>
      </c>
    </row>
    <row r="39" spans="1:36" ht="12.75">
      <c r="A39" s="6">
        <v>5.07</v>
      </c>
      <c r="B39" s="33" t="s">
        <v>32</v>
      </c>
      <c r="C39" s="33" t="s">
        <v>13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IND</v>
      </c>
    </row>
    <row r="40" spans="1:36" ht="12.75">
      <c r="A40" s="6">
        <v>5.08</v>
      </c>
      <c r="B40" s="33" t="s">
        <v>32</v>
      </c>
      <c r="C40" s="33" t="s">
        <v>13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IND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 t="s">
        <v>32</v>
      </c>
      <c r="C42" s="33" t="s">
        <v>49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IND</v>
      </c>
    </row>
    <row r="43" spans="1:36" ht="12.75">
      <c r="A43" s="6">
        <v>5.1100000000000003</v>
      </c>
      <c r="B43" s="33" t="s">
        <v>32</v>
      </c>
      <c r="C43" s="33" t="s">
        <v>49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IND</v>
      </c>
    </row>
    <row r="44" spans="1:36" ht="12.75">
      <c r="A44" s="6">
        <v>5.12</v>
      </c>
      <c r="B44" s="33" t="s">
        <v>32</v>
      </c>
      <c r="C44" s="33" t="s">
        <v>49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IND</v>
      </c>
    </row>
    <row r="45" spans="1:36" ht="12.75">
      <c r="A45" s="6">
        <v>5.13</v>
      </c>
      <c r="B45" s="33" t="s">
        <v>32</v>
      </c>
      <c r="C45" s="33" t="s">
        <v>49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IND</v>
      </c>
    </row>
    <row r="46" spans="1:36" ht="12.75">
      <c r="A46" s="6">
        <v>5.14</v>
      </c>
      <c r="B46" s="33"/>
      <c r="C46" s="33" t="s">
        <v>1191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IND</v>
      </c>
    </row>
    <row r="47" spans="1:36" ht="12.75">
      <c r="A47" s="6">
        <v>5.15</v>
      </c>
      <c r="B47" s="33"/>
      <c r="C47" s="33" t="s">
        <v>1191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IND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/>
      <c r="C49" s="33" t="s">
        <v>1191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IND</v>
      </c>
    </row>
    <row r="50" spans="1:36" ht="12.75">
      <c r="A50" s="6">
        <v>5.18</v>
      </c>
      <c r="B50" s="33"/>
      <c r="C50" s="33" t="s">
        <v>1191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IND</v>
      </c>
    </row>
    <row r="51" spans="1:36" ht="12.75">
      <c r="A51" s="6">
        <v>5.19</v>
      </c>
      <c r="B51" s="33"/>
      <c r="C51" s="33" t="s">
        <v>39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IND</v>
      </c>
    </row>
    <row r="52" spans="1:36" ht="12.75">
      <c r="A52" s="6">
        <v>5.2</v>
      </c>
      <c r="B52" s="33"/>
      <c r="C52" s="33" t="s">
        <v>39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IND</v>
      </c>
    </row>
    <row r="53" spans="1:36" ht="12.75">
      <c r="A53" s="6">
        <v>5.21</v>
      </c>
      <c r="B53" s="33"/>
      <c r="C53" s="33" t="s">
        <v>39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IND</v>
      </c>
    </row>
    <row r="54" spans="1:36" ht="12.75">
      <c r="A54" s="6">
        <v>5.22</v>
      </c>
      <c r="B54" s="33"/>
      <c r="C54" s="33" t="s">
        <v>39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IND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1918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IND</v>
      </c>
    </row>
    <row r="57" spans="1:36" ht="12.75">
      <c r="A57" s="6">
        <v>5.25</v>
      </c>
      <c r="B57" s="33" t="s">
        <v>32</v>
      </c>
      <c r="C57" s="33" t="s">
        <v>1918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IND</v>
      </c>
    </row>
    <row r="58" spans="1:36" ht="12.75">
      <c r="A58" s="6">
        <v>5.26</v>
      </c>
      <c r="B58" s="33" t="s">
        <v>32</v>
      </c>
      <c r="C58" s="33" t="s">
        <v>1918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IND</v>
      </c>
    </row>
    <row r="59" spans="1:36" ht="12.75">
      <c r="A59" s="6">
        <v>5.27</v>
      </c>
      <c r="B59" s="33" t="s">
        <v>32</v>
      </c>
      <c r="C59" s="33" t="s">
        <v>1918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IND</v>
      </c>
    </row>
    <row r="60" spans="1:36" ht="12.75">
      <c r="A60" s="6">
        <v>5.28</v>
      </c>
      <c r="B60" s="33" t="s">
        <v>32</v>
      </c>
      <c r="C60" s="33" t="s">
        <v>35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IND</v>
      </c>
    </row>
    <row r="61" spans="1:36" ht="12.75">
      <c r="A61" s="6">
        <v>5.29</v>
      </c>
      <c r="B61" s="33" t="s">
        <v>32</v>
      </c>
      <c r="C61" s="33" t="s">
        <v>35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IND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35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IND</v>
      </c>
    </row>
    <row r="64" spans="1:36" ht="12.75">
      <c r="A64" s="6">
        <v>6.01</v>
      </c>
      <c r="B64" s="33"/>
      <c r="C64" s="33" t="s">
        <v>44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IND</v>
      </c>
    </row>
    <row r="65" spans="1:36" ht="12.75">
      <c r="A65" s="6">
        <v>6.02</v>
      </c>
      <c r="B65" s="33"/>
      <c r="C65" s="33" t="s">
        <v>44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IND</v>
      </c>
    </row>
    <row r="66" spans="1:36" ht="12.75">
      <c r="A66" s="6">
        <v>6.03</v>
      </c>
      <c r="B66" s="33"/>
      <c r="C66" s="33" t="s">
        <v>44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IND</v>
      </c>
    </row>
    <row r="67" spans="1:36" ht="12.75">
      <c r="A67" s="6">
        <v>6.04</v>
      </c>
      <c r="B67" s="33"/>
      <c r="C67" s="33" t="s">
        <v>44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IND</v>
      </c>
    </row>
    <row r="68" spans="1:36" ht="12.75">
      <c r="A68" s="6">
        <v>6.05</v>
      </c>
      <c r="B68" s="33" t="s">
        <v>32</v>
      </c>
      <c r="C68" s="33" t="s">
        <v>52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IND</v>
      </c>
    </row>
    <row r="69" spans="1:36" ht="12.75">
      <c r="A69" s="6">
        <v>6.06</v>
      </c>
      <c r="B69" s="33" t="s">
        <v>32</v>
      </c>
      <c r="C69" s="33" t="s">
        <v>52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IND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 t="s">
        <v>32</v>
      </c>
      <c r="C71" s="33" t="s">
        <v>52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IND</v>
      </c>
    </row>
    <row r="72" spans="1:36" ht="12.75">
      <c r="A72" s="6">
        <v>6.09</v>
      </c>
      <c r="B72" s="33" t="s">
        <v>32</v>
      </c>
      <c r="C72" s="33" t="s">
        <v>52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IND</v>
      </c>
    </row>
    <row r="73" spans="1:36" ht="12.75">
      <c r="A73" s="6">
        <v>6.1</v>
      </c>
      <c r="B73" s="33"/>
      <c r="C73" s="33" t="s">
        <v>33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IND</v>
      </c>
    </row>
    <row r="74" spans="1:36" ht="12.75">
      <c r="A74" s="6">
        <v>6.11</v>
      </c>
      <c r="B74" s="33"/>
      <c r="C74" s="33" t="s">
        <v>33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IND</v>
      </c>
    </row>
    <row r="75" spans="1:36" ht="12.75">
      <c r="A75" s="6">
        <v>6.12</v>
      </c>
      <c r="B75" s="33"/>
      <c r="C75" s="33" t="s">
        <v>33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IND</v>
      </c>
    </row>
    <row r="76" spans="1:36" ht="12.75">
      <c r="A76" s="6">
        <v>6.13</v>
      </c>
      <c r="B76" s="33"/>
      <c r="C76" s="33" t="s">
        <v>33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IND</v>
      </c>
    </row>
    <row r="77" spans="1:36" ht="12.75">
      <c r="A77" s="6">
        <v>6.14</v>
      </c>
      <c r="B77" s="32" t="s">
        <v>32</v>
      </c>
      <c r="C77" s="33" t="s">
        <v>15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IND</v>
      </c>
    </row>
    <row r="78" spans="1:36" ht="12.75">
      <c r="A78" s="6">
        <v>6.15</v>
      </c>
      <c r="B78" s="32" t="s">
        <v>32</v>
      </c>
      <c r="C78" s="33" t="s">
        <v>15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IND</v>
      </c>
    </row>
    <row r="79" spans="1:36" ht="12.75">
      <c r="A79" s="6">
        <v>6.16</v>
      </c>
      <c r="B79" s="32" t="s">
        <v>32</v>
      </c>
      <c r="C79" s="33" t="s">
        <v>15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IND</v>
      </c>
    </row>
    <row r="80" spans="1:36" ht="12.75">
      <c r="A80" s="6">
        <v>6.17</v>
      </c>
      <c r="B80" s="32" t="s">
        <v>32</v>
      </c>
      <c r="C80" s="33" t="s">
        <v>15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IND</v>
      </c>
    </row>
    <row r="81" spans="1:36" ht="12.75">
      <c r="A81" s="6">
        <v>6.18</v>
      </c>
      <c r="B81" s="32" t="s">
        <v>32</v>
      </c>
      <c r="C81" s="33" t="s">
        <v>56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IND</v>
      </c>
    </row>
    <row r="82" spans="1:36" ht="12.75">
      <c r="A82" s="6">
        <v>6.19</v>
      </c>
      <c r="B82" s="32" t="s">
        <v>32</v>
      </c>
      <c r="C82" s="33" t="s">
        <v>56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IND</v>
      </c>
    </row>
    <row r="83" spans="1:36" ht="12.75">
      <c r="A83" s="6">
        <v>6.2</v>
      </c>
      <c r="B83" s="32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2" t="s">
        <v>32</v>
      </c>
      <c r="C84" s="33" t="s">
        <v>56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IND</v>
      </c>
    </row>
    <row r="85" spans="1:36" ht="12.75">
      <c r="A85" s="6">
        <v>6.22</v>
      </c>
      <c r="B85" s="32" t="s">
        <v>32</v>
      </c>
      <c r="C85" s="33" t="s">
        <v>56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IND</v>
      </c>
    </row>
    <row r="86" spans="1:36" ht="12.75">
      <c r="A86" s="6">
        <v>6.23</v>
      </c>
      <c r="B86" s="33" t="s">
        <v>32</v>
      </c>
      <c r="C86" s="33" t="s">
        <v>48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IND</v>
      </c>
    </row>
    <row r="87" spans="1:36" ht="12.75">
      <c r="A87" s="6">
        <v>6.24</v>
      </c>
      <c r="B87" s="33" t="s">
        <v>32</v>
      </c>
      <c r="C87" s="33" t="s">
        <v>48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IND</v>
      </c>
    </row>
    <row r="88" spans="1:36" ht="12.75">
      <c r="A88" s="6">
        <v>6.25</v>
      </c>
      <c r="B88" s="33" t="s">
        <v>32</v>
      </c>
      <c r="C88" s="33" t="s">
        <v>48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IND</v>
      </c>
    </row>
    <row r="89" spans="1:36" ht="12.75">
      <c r="A89" s="6">
        <v>6.26</v>
      </c>
      <c r="B89" s="33" t="s">
        <v>32</v>
      </c>
      <c r="C89" s="33" t="s">
        <v>48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IND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5">
      <c r="A91" s="6">
        <v>6.28</v>
      </c>
      <c r="B91" s="36" t="s">
        <v>32</v>
      </c>
      <c r="C91" s="36" t="s">
        <v>40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IND</v>
      </c>
    </row>
    <row r="92" spans="1:36" ht="15">
      <c r="A92" s="6">
        <v>6.29</v>
      </c>
      <c r="B92" s="36" t="s">
        <v>32</v>
      </c>
      <c r="C92" s="36" t="s">
        <v>40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IND</v>
      </c>
    </row>
    <row r="93" spans="1:36" ht="15">
      <c r="A93" s="6">
        <v>6.3</v>
      </c>
      <c r="B93" s="36" t="s">
        <v>32</v>
      </c>
      <c r="C93" s="36" t="s">
        <v>40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IND</v>
      </c>
    </row>
    <row r="94" spans="1:36" ht="12.75">
      <c r="A94" s="6">
        <v>7.01</v>
      </c>
      <c r="B94" s="33" t="s">
        <v>32</v>
      </c>
      <c r="C94" s="33" t="s">
        <v>16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IND</v>
      </c>
    </row>
    <row r="95" spans="1:36" ht="12.75">
      <c r="A95" s="6">
        <v>7.02</v>
      </c>
      <c r="B95" s="33" t="s">
        <v>32</v>
      </c>
      <c r="C95" s="33" t="s">
        <v>16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IND</v>
      </c>
    </row>
    <row r="96" spans="1:36" ht="12.75">
      <c r="A96" s="6">
        <v>7.03</v>
      </c>
      <c r="B96" s="33" t="s">
        <v>32</v>
      </c>
      <c r="C96" s="33" t="s">
        <v>16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IND</v>
      </c>
    </row>
    <row r="97" spans="1:36" ht="12.75">
      <c r="A97" s="6">
        <v>7.04</v>
      </c>
      <c r="B97" s="33"/>
      <c r="C97" s="33" t="s">
        <v>45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IND</v>
      </c>
    </row>
    <row r="98" spans="1:36" ht="12.75">
      <c r="A98" s="6">
        <v>7.05</v>
      </c>
      <c r="B98" s="33"/>
      <c r="C98" s="33" t="s">
        <v>45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IND</v>
      </c>
    </row>
    <row r="99" spans="1:36" ht="12.75">
      <c r="A99" s="6">
        <v>7.06</v>
      </c>
      <c r="B99" s="33"/>
      <c r="C99" s="33" t="s">
        <v>45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IND</v>
      </c>
    </row>
    <row r="100" spans="1:36" ht="12.75">
      <c r="A100" s="6">
        <v>7.07</v>
      </c>
      <c r="B100" s="33"/>
      <c r="C100" s="33" t="s">
        <v>47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IND</v>
      </c>
    </row>
    <row r="101" spans="1:36" ht="12.75">
      <c r="A101" s="6">
        <v>7.08</v>
      </c>
      <c r="B101" s="33"/>
      <c r="C101" s="33" t="s">
        <v>47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IND</v>
      </c>
    </row>
    <row r="102" spans="1:36" ht="12.75">
      <c r="A102" s="6">
        <v>7.09</v>
      </c>
      <c r="B102" s="33"/>
      <c r="C102" s="33" t="s">
        <v>47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IND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55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IND</v>
      </c>
    </row>
    <row r="107" spans="1:36" ht="12.75">
      <c r="A107" s="6">
        <v>7.14</v>
      </c>
      <c r="B107" s="33"/>
      <c r="C107" s="33" t="s">
        <v>55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IND</v>
      </c>
    </row>
    <row r="108" spans="1:36" ht="12.75">
      <c r="A108" s="6">
        <v>7.15</v>
      </c>
      <c r="B108" s="33"/>
      <c r="C108" s="33" t="s">
        <v>55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IND</v>
      </c>
    </row>
    <row r="109" spans="1:36" ht="12.75">
      <c r="A109" s="6">
        <v>7.16</v>
      </c>
      <c r="B109" s="33"/>
      <c r="C109" s="33" t="s">
        <v>14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IND</v>
      </c>
    </row>
    <row r="110" spans="1:36" ht="12.75">
      <c r="A110" s="6">
        <v>7.17</v>
      </c>
      <c r="B110" s="33"/>
      <c r="C110" s="33" t="s">
        <v>14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IND</v>
      </c>
    </row>
    <row r="111" spans="1:36" ht="12.75">
      <c r="A111" s="6">
        <v>7.18</v>
      </c>
      <c r="B111" s="33"/>
      <c r="C111" s="33" t="s">
        <v>14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IND</v>
      </c>
    </row>
    <row r="112" spans="1:36" ht="12.75">
      <c r="A112" s="6">
        <v>7.19</v>
      </c>
      <c r="B112" s="33"/>
      <c r="C112" s="33" t="s">
        <v>43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IND</v>
      </c>
    </row>
    <row r="113" spans="1:36" ht="12.75">
      <c r="A113" s="6">
        <v>7.2</v>
      </c>
      <c r="B113" s="33"/>
      <c r="C113" s="33" t="s">
        <v>43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IND</v>
      </c>
    </row>
    <row r="114" spans="1:36" ht="12.75">
      <c r="A114" s="6">
        <v>7.21</v>
      </c>
      <c r="B114" s="33"/>
      <c r="C114" s="33" t="s">
        <v>43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IND</v>
      </c>
    </row>
    <row r="115" spans="1:36" ht="12.75">
      <c r="A115" s="6">
        <v>7.22</v>
      </c>
      <c r="B115" s="33"/>
      <c r="C115" s="33" t="s">
        <v>43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IND</v>
      </c>
    </row>
    <row r="116" spans="1:36" ht="12.75">
      <c r="A116" s="6">
        <v>7.23</v>
      </c>
      <c r="B116" s="33" t="s">
        <v>32</v>
      </c>
      <c r="C116" s="33" t="s">
        <v>1919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IND</v>
      </c>
    </row>
    <row r="117" spans="1:36" ht="12.75">
      <c r="A117" s="6">
        <v>7.24</v>
      </c>
      <c r="B117" s="33" t="s">
        <v>32</v>
      </c>
      <c r="C117" s="33" t="s">
        <v>1919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IND</v>
      </c>
    </row>
    <row r="118" spans="1:36" ht="12.75">
      <c r="A118" s="6">
        <v>7.25</v>
      </c>
      <c r="B118" s="33" t="s">
        <v>32</v>
      </c>
      <c r="C118" s="33" t="s">
        <v>1919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IND</v>
      </c>
    </row>
    <row r="119" spans="1:36" ht="12.75">
      <c r="A119" s="6">
        <v>7.26</v>
      </c>
      <c r="B119" s="33" t="s">
        <v>32</v>
      </c>
      <c r="C119" s="33" t="s">
        <v>1919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IND</v>
      </c>
    </row>
    <row r="120" spans="1:36" ht="12.75">
      <c r="A120" s="6">
        <v>7.27</v>
      </c>
      <c r="B120" s="34"/>
      <c r="C120" s="33" t="s">
        <v>1917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IND</v>
      </c>
    </row>
    <row r="121" spans="1:36" ht="12.75">
      <c r="A121" s="6">
        <v>7.28</v>
      </c>
      <c r="B121" s="34"/>
      <c r="C121" s="33" t="s">
        <v>1917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IND</v>
      </c>
    </row>
    <row r="122" spans="1:36" ht="12.75">
      <c r="A122" s="6">
        <v>7.29</v>
      </c>
      <c r="B122" s="34"/>
      <c r="C122" s="33" t="s">
        <v>1917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IND</v>
      </c>
    </row>
    <row r="123" spans="1:36" ht="12.75">
      <c r="A123" s="6">
        <v>7.3</v>
      </c>
      <c r="B123" s="34"/>
      <c r="C123" s="33" t="s">
        <v>1917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IND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/>
      <c r="C125" s="33" t="s">
        <v>54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IND</v>
      </c>
    </row>
    <row r="126" spans="1:36" ht="12.75">
      <c r="A126" s="6">
        <v>8.02</v>
      </c>
      <c r="B126" s="33"/>
      <c r="C126" s="33" t="s">
        <v>54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IND</v>
      </c>
    </row>
    <row r="127" spans="1:36" ht="12.75">
      <c r="A127" s="6">
        <v>8.0299999999999994</v>
      </c>
      <c r="B127" s="33"/>
      <c r="C127" s="33" t="s">
        <v>54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IND</v>
      </c>
    </row>
    <row r="128" spans="1:36" ht="12.75">
      <c r="A128" s="6">
        <v>8.0399999999999991</v>
      </c>
      <c r="B128" s="33"/>
      <c r="C128" s="33" t="s">
        <v>54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IND</v>
      </c>
    </row>
    <row r="129" spans="1:36" ht="12.75">
      <c r="A129" s="6">
        <v>8.0500000000000007</v>
      </c>
      <c r="B129" s="33"/>
      <c r="C129" s="33" t="s">
        <v>16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IND</v>
      </c>
    </row>
    <row r="130" spans="1:36" ht="12.75">
      <c r="A130" s="6">
        <v>8.06</v>
      </c>
      <c r="B130" s="33"/>
      <c r="C130" s="33" t="s">
        <v>16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IND</v>
      </c>
    </row>
    <row r="131" spans="1:36" ht="12.75">
      <c r="A131" s="6">
        <v>8.07</v>
      </c>
      <c r="B131" s="33"/>
      <c r="C131" s="33" t="s">
        <v>16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IND</v>
      </c>
    </row>
    <row r="132" spans="1:36" ht="12.75">
      <c r="A132" s="6">
        <v>8.08</v>
      </c>
      <c r="B132" s="33"/>
      <c r="C132" s="33" t="s">
        <v>16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IND</v>
      </c>
    </row>
    <row r="133" spans="1:36" ht="12.75">
      <c r="A133" s="6">
        <v>8.09</v>
      </c>
      <c r="B133" s="33" t="s">
        <v>32</v>
      </c>
      <c r="C133" s="33" t="s">
        <v>14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IND</v>
      </c>
    </row>
    <row r="134" spans="1:36" ht="12.75">
      <c r="A134" s="6">
        <v>8.1</v>
      </c>
      <c r="B134" s="33" t="s">
        <v>32</v>
      </c>
      <c r="C134" s="33" t="s">
        <v>14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IND</v>
      </c>
    </row>
    <row r="135" spans="1:36" ht="12.75">
      <c r="A135" s="6">
        <v>8.11</v>
      </c>
      <c r="B135" s="33" t="s">
        <v>32</v>
      </c>
      <c r="C135" s="33" t="s">
        <v>14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IND</v>
      </c>
    </row>
    <row r="136" spans="1:36" ht="12.75">
      <c r="A136" s="6">
        <v>8.1199999999999992</v>
      </c>
      <c r="B136" s="33" t="s">
        <v>32</v>
      </c>
      <c r="C136" s="33" t="s">
        <v>14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IND</v>
      </c>
    </row>
    <row r="137" spans="1:36" ht="12.75">
      <c r="A137" s="6">
        <v>8.1300000000000008</v>
      </c>
      <c r="B137" s="33"/>
      <c r="C137" s="33" t="s">
        <v>40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IND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40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IND</v>
      </c>
    </row>
    <row r="140" spans="1:36" ht="12.75">
      <c r="A140" s="6">
        <v>8.16</v>
      </c>
      <c r="B140" s="33"/>
      <c r="C140" s="33" t="s">
        <v>40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IND</v>
      </c>
    </row>
    <row r="141" spans="1:36" ht="12.75">
      <c r="A141" s="6">
        <v>8.17</v>
      </c>
      <c r="B141" s="33"/>
      <c r="C141" s="33" t="s">
        <v>40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IND</v>
      </c>
    </row>
    <row r="142" spans="1:36" ht="12.75">
      <c r="A142" s="6">
        <v>8.18</v>
      </c>
      <c r="B142" s="33"/>
      <c r="C142" s="33" t="s">
        <v>42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IND</v>
      </c>
    </row>
    <row r="143" spans="1:36" ht="12.75">
      <c r="A143" s="6">
        <v>8.19</v>
      </c>
      <c r="B143" s="33"/>
      <c r="C143" s="33" t="s">
        <v>42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IND</v>
      </c>
    </row>
    <row r="144" spans="1:36" ht="12.75">
      <c r="A144" s="6">
        <v>8.1999999999999993</v>
      </c>
      <c r="B144" s="33"/>
      <c r="C144" s="33" t="s">
        <v>42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IND</v>
      </c>
    </row>
    <row r="145" spans="1:36" ht="12.75">
      <c r="A145" s="6">
        <v>8.2100000000000009</v>
      </c>
      <c r="B145" s="33" t="s">
        <v>32</v>
      </c>
      <c r="C145" s="33" t="s">
        <v>55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IND</v>
      </c>
    </row>
    <row r="146" spans="1:36" ht="12.75">
      <c r="A146" s="6">
        <v>8.2200000000000006</v>
      </c>
      <c r="B146" s="33" t="s">
        <v>32</v>
      </c>
      <c r="C146" s="33" t="s">
        <v>55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IND</v>
      </c>
    </row>
    <row r="147" spans="1:36" ht="12.75">
      <c r="A147" s="6">
        <v>8.23</v>
      </c>
      <c r="B147" s="33" t="s">
        <v>32</v>
      </c>
      <c r="C147" s="33" t="s">
        <v>55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IND</v>
      </c>
    </row>
    <row r="148" spans="1:36" ht="12.75">
      <c r="A148" s="6">
        <v>8.24</v>
      </c>
      <c r="B148" s="33" t="s">
        <v>32</v>
      </c>
      <c r="C148" s="33" t="s">
        <v>55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IND</v>
      </c>
    </row>
    <row r="149" spans="1:36" ht="12.75">
      <c r="A149" s="6">
        <v>8.25</v>
      </c>
      <c r="B149" s="33" t="s">
        <v>32</v>
      </c>
      <c r="C149" s="33" t="s">
        <v>45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IND</v>
      </c>
    </row>
    <row r="150" spans="1:36" ht="12.75">
      <c r="A150" s="6">
        <v>8.26</v>
      </c>
      <c r="B150" s="33" t="s">
        <v>32</v>
      </c>
      <c r="C150" s="33" t="s">
        <v>45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IND</v>
      </c>
    </row>
    <row r="151" spans="1:36" ht="12.75">
      <c r="A151" s="6">
        <v>8.27</v>
      </c>
      <c r="B151" s="33" t="s">
        <v>32</v>
      </c>
      <c r="C151" s="33" t="s">
        <v>45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IND</v>
      </c>
    </row>
    <row r="152" spans="1:36" ht="12.75">
      <c r="A152" s="6">
        <v>8.2799999999999994</v>
      </c>
      <c r="B152" s="33" t="s">
        <v>32</v>
      </c>
      <c r="C152" s="33" t="s">
        <v>45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IND</v>
      </c>
    </row>
    <row r="153" spans="1:36" ht="12.75">
      <c r="A153" s="6">
        <v>8.2899999999999991</v>
      </c>
      <c r="B153" s="33"/>
      <c r="C153" s="33" t="s">
        <v>13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IND</v>
      </c>
    </row>
    <row r="154" spans="1:36" ht="12.75">
      <c r="A154" s="6">
        <v>8.3000000000000007</v>
      </c>
      <c r="B154" s="33"/>
      <c r="C154" s="33" t="s">
        <v>13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IND</v>
      </c>
    </row>
    <row r="155" spans="1:36" ht="12.75">
      <c r="A155" s="6">
        <v>8.31</v>
      </c>
      <c r="B155" s="33"/>
      <c r="C155" s="33" t="s">
        <v>13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IND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39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IND</v>
      </c>
    </row>
    <row r="158" spans="1:36" ht="12.75">
      <c r="A158" s="6">
        <v>9.0299999999999994</v>
      </c>
      <c r="B158" s="33" t="s">
        <v>32</v>
      </c>
      <c r="C158" s="33" t="s">
        <v>39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IND</v>
      </c>
    </row>
    <row r="159" spans="1:36" ht="12.75">
      <c r="A159" s="6">
        <v>9.0399999999999991</v>
      </c>
      <c r="B159" s="33" t="s">
        <v>32</v>
      </c>
      <c r="C159" s="33" t="s">
        <v>39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IND</v>
      </c>
    </row>
    <row r="160" spans="1:36" ht="12.75">
      <c r="A160" s="6">
        <v>9.0500000000000007</v>
      </c>
      <c r="B160" s="33"/>
      <c r="C160" s="33" t="s">
        <v>52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IND</v>
      </c>
    </row>
    <row r="161" spans="1:36" ht="12.75">
      <c r="A161" s="6">
        <v>9.06</v>
      </c>
      <c r="B161" s="33"/>
      <c r="C161" s="33" t="s">
        <v>52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IND</v>
      </c>
    </row>
    <row r="162" spans="1:36" ht="12.75">
      <c r="A162" s="6">
        <v>9.07</v>
      </c>
      <c r="B162" s="33"/>
      <c r="C162" s="33" t="s">
        <v>52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IND</v>
      </c>
    </row>
    <row r="163" spans="1:36" ht="12.75">
      <c r="A163" s="6">
        <v>9.08</v>
      </c>
      <c r="B163" s="33" t="s">
        <v>32</v>
      </c>
      <c r="C163" s="33" t="s">
        <v>1191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IND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 t="s">
        <v>32</v>
      </c>
      <c r="C165" s="33" t="s">
        <v>1191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IND</v>
      </c>
    </row>
    <row r="166" spans="1:36" ht="12.75">
      <c r="A166" s="6">
        <v>9.11</v>
      </c>
      <c r="B166" s="33" t="s">
        <v>32</v>
      </c>
      <c r="C166" s="33" t="s">
        <v>1191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IND</v>
      </c>
    </row>
    <row r="167" spans="1:36" ht="12.75">
      <c r="A167" s="6">
        <v>9.1199999999999992</v>
      </c>
      <c r="B167" s="32"/>
      <c r="C167" s="33" t="s">
        <v>35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IND</v>
      </c>
    </row>
    <row r="168" spans="1:36" ht="12.75">
      <c r="A168" s="6">
        <v>9.1300000000000008</v>
      </c>
      <c r="B168" s="32"/>
      <c r="C168" s="33" t="s">
        <v>35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IND</v>
      </c>
    </row>
    <row r="169" spans="1:36" ht="12.75">
      <c r="A169" s="6">
        <v>9.14</v>
      </c>
      <c r="B169" s="32"/>
      <c r="C169" s="33" t="s">
        <v>35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IND</v>
      </c>
    </row>
    <row r="170" spans="1:36" ht="12.75">
      <c r="A170" s="6">
        <v>9.15</v>
      </c>
      <c r="B170" s="32"/>
      <c r="C170" s="33" t="s">
        <v>35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IND</v>
      </c>
    </row>
    <row r="171" spans="1:36" ht="12.75">
      <c r="A171" s="6">
        <v>9.16</v>
      </c>
      <c r="B171" s="33" t="s">
        <v>32</v>
      </c>
      <c r="C171" s="33" t="s">
        <v>54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IND</v>
      </c>
    </row>
    <row r="172" spans="1:36" ht="12.75">
      <c r="A172" s="6">
        <v>9.17</v>
      </c>
      <c r="B172" s="33" t="s">
        <v>32</v>
      </c>
      <c r="C172" s="33" t="s">
        <v>54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IND</v>
      </c>
    </row>
    <row r="173" spans="1:36" ht="12.75">
      <c r="A173" s="6">
        <v>9.18</v>
      </c>
      <c r="B173" s="33" t="s">
        <v>32</v>
      </c>
      <c r="C173" s="33" t="s">
        <v>54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IND</v>
      </c>
    </row>
    <row r="174" spans="1:36" ht="12.75">
      <c r="A174" s="6">
        <v>9.19</v>
      </c>
      <c r="B174" s="33" t="s">
        <v>32</v>
      </c>
      <c r="C174" s="33" t="s">
        <v>47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IND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 t="s">
        <v>32</v>
      </c>
      <c r="C176" s="33" t="s">
        <v>47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IND</v>
      </c>
    </row>
    <row r="177" spans="1:36" ht="12.75">
      <c r="A177" s="6">
        <v>9.2200000000000006</v>
      </c>
      <c r="B177" s="33" t="s">
        <v>32</v>
      </c>
      <c r="C177" s="33" t="s">
        <v>47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IND</v>
      </c>
    </row>
    <row r="178" spans="1:36" ht="12.75">
      <c r="A178" s="6">
        <v>9.23</v>
      </c>
      <c r="B178" s="33" t="s">
        <v>32</v>
      </c>
      <c r="C178" s="33" t="s">
        <v>47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IND</v>
      </c>
    </row>
    <row r="179" spans="1:36" ht="12.75">
      <c r="A179" s="6">
        <v>9.24</v>
      </c>
      <c r="B179" s="33" t="s">
        <v>32</v>
      </c>
      <c r="C179" s="33" t="s">
        <v>51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IND</v>
      </c>
    </row>
    <row r="180" spans="1:36" ht="12.75">
      <c r="A180" s="6">
        <v>9.25</v>
      </c>
      <c r="B180" s="33" t="s">
        <v>32</v>
      </c>
      <c r="C180" s="33" t="s">
        <v>51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IND</v>
      </c>
    </row>
    <row r="181" spans="1:36" ht="12.75">
      <c r="A181" s="6">
        <v>9.26</v>
      </c>
      <c r="B181" s="33" t="s">
        <v>32</v>
      </c>
      <c r="C181" s="33" t="s">
        <v>51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IND</v>
      </c>
    </row>
    <row r="182" spans="1:36" ht="12.75">
      <c r="A182" s="6">
        <v>9.27</v>
      </c>
      <c r="B182" s="33"/>
      <c r="C182" s="33" t="s">
        <v>48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IND</v>
      </c>
    </row>
    <row r="183" spans="1:36" ht="12.75">
      <c r="A183" s="6">
        <v>9.2799999999999994</v>
      </c>
      <c r="B183" s="33"/>
      <c r="C183" s="33" t="s">
        <v>48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IND</v>
      </c>
    </row>
    <row r="184" spans="1:36" ht="12.75">
      <c r="A184" s="6">
        <v>9.2899999999999991</v>
      </c>
      <c r="B184" s="33"/>
      <c r="C184" s="33" t="s">
        <v>48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IND</v>
      </c>
    </row>
    <row r="185" spans="1:36" ht="12.75">
      <c r="A185" s="6">
        <v>9.3000000000000007</v>
      </c>
      <c r="B185" s="33"/>
      <c r="C185" s="33" t="s">
        <v>48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IND</v>
      </c>
    </row>
    <row r="186" spans="1:36">
      <c r="B186" s="2"/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B188" s="2"/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B189" s="11"/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B190" s="11"/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B191" s="11"/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B192" s="11"/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2:36">
      <c r="B193" s="11"/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2:36">
      <c r="B194" s="11"/>
      <c r="C194" s="2"/>
      <c r="K194" s="2"/>
      <c r="AJ194" s="2"/>
    </row>
    <row r="195" spans="2:36">
      <c r="B195" s="11"/>
      <c r="C195" s="2"/>
      <c r="K195" s="2"/>
      <c r="AJ195" s="2"/>
    </row>
    <row r="196" spans="2:36">
      <c r="B196" s="11"/>
      <c r="C196" s="2"/>
      <c r="K196" s="2"/>
      <c r="AJ196" s="2"/>
    </row>
    <row r="197" spans="2:36">
      <c r="B197" s="11"/>
      <c r="C197" s="2"/>
      <c r="K197" s="2"/>
      <c r="AJ197" s="2"/>
    </row>
    <row r="198" spans="2:36">
      <c r="B198" s="11"/>
      <c r="C198" s="2"/>
      <c r="K198" s="2"/>
      <c r="AJ198" s="2"/>
    </row>
    <row r="199" spans="2:36">
      <c r="B199" s="11"/>
      <c r="C199" s="2"/>
      <c r="K199" s="2"/>
      <c r="AJ199" s="2"/>
    </row>
    <row r="200" spans="2:36">
      <c r="B200" s="11"/>
      <c r="C200" s="2"/>
      <c r="K200" s="2"/>
      <c r="AJ200" s="2"/>
    </row>
    <row r="201" spans="2:36">
      <c r="B201" s="11"/>
      <c r="C201" s="2"/>
      <c r="K201" s="2"/>
      <c r="AJ201" s="2"/>
    </row>
    <row r="202" spans="2:36">
      <c r="B202" s="11"/>
      <c r="C202" s="2"/>
      <c r="K202" s="2"/>
      <c r="AJ202" s="2"/>
    </row>
    <row r="203" spans="2:36">
      <c r="B203" s="11"/>
      <c r="C203" s="2"/>
      <c r="K203" s="2"/>
      <c r="AJ203" s="2"/>
    </row>
    <row r="204" spans="2:36">
      <c r="C204" s="2"/>
      <c r="AJ204" s="2"/>
    </row>
    <row r="205" spans="2:36">
      <c r="C205" s="2"/>
      <c r="AJ205" s="2"/>
    </row>
    <row r="206" spans="2:36">
      <c r="C206" s="2"/>
      <c r="AJ206" s="2"/>
    </row>
    <row r="207" spans="2:36">
      <c r="C207" s="2"/>
      <c r="AJ207" s="2"/>
    </row>
    <row r="208" spans="2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</sheetData>
  <phoneticPr fontId="0" type="noConversion"/>
  <conditionalFormatting sqref="AK3:AK22">
    <cfRule type="cellIs" dxfId="5885" priority="6380" stopIfTrue="1" operator="equal">
      <formula>"must average at least 5 innings per start"</formula>
    </cfRule>
  </conditionalFormatting>
  <conditionalFormatting sqref="AK23">
    <cfRule type="cellIs" dxfId="5884" priority="6381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83" priority="6382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5882" priority="6383" stopIfTrue="1" operator="equal">
      <formula>"input a different starter in column C"</formula>
    </cfRule>
  </conditionalFormatting>
  <conditionalFormatting sqref="AH3:AH22">
    <cfRule type="cellIs" dxfId="5881" priority="5924" stopIfTrue="1" operator="equal">
      <formula>"must average at least 5 innings per start"</formula>
    </cfRule>
  </conditionalFormatting>
  <conditionalFormatting sqref="AH23">
    <cfRule type="cellIs" dxfId="5880" priority="5923" stopIfTrue="1" operator="equal">
      <formula>"must have 162 starts"</formula>
    </cfRule>
  </conditionalFormatting>
  <conditionalFormatting sqref="AG3:AG22">
    <cfRule type="cellIs" dxfId="5879" priority="5922" stopIfTrue="1" operator="equal">
      <formula>"must average at least 5 innings per start"</formula>
    </cfRule>
  </conditionalFormatting>
  <conditionalFormatting sqref="AG23">
    <cfRule type="cellIs" dxfId="5878" priority="5921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77" priority="592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76" priority="591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75" priority="591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74" priority="591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73" priority="591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72" priority="591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71" priority="591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70" priority="591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69" priority="591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868" priority="5911" stopIfTrue="1" operator="equal">
      <formula>"input starter in column C"</formula>
    </cfRule>
  </conditionalFormatting>
  <conditionalFormatting sqref="P3">
    <cfRule type="cellIs" dxfId="5867" priority="5910" stopIfTrue="1" operator="equal">
      <formula>"input starter in column D"</formula>
    </cfRule>
  </conditionalFormatting>
  <conditionalFormatting sqref="P4">
    <cfRule type="cellIs" dxfId="5866" priority="5909" stopIfTrue="1" operator="equal">
      <formula>"input starter in column D"</formula>
    </cfRule>
  </conditionalFormatting>
  <conditionalFormatting sqref="P5">
    <cfRule type="cellIs" dxfId="5865" priority="5908" stopIfTrue="1" operator="equal">
      <formula>"INPUT STARTER IN COLUMN D"</formula>
    </cfRule>
  </conditionalFormatting>
  <conditionalFormatting sqref="P6">
    <cfRule type="cellIs" dxfId="5864" priority="5907" stopIfTrue="1" operator="equal">
      <formula>"INPUT STARTER IN COLUMN D"</formula>
    </cfRule>
  </conditionalFormatting>
  <conditionalFormatting sqref="P8">
    <cfRule type="cellIs" dxfId="5863" priority="5906" stopIfTrue="1" operator="equal">
      <formula>"INPUT STARTER IN COLUMN D"</formula>
    </cfRule>
  </conditionalFormatting>
  <conditionalFormatting sqref="P9">
    <cfRule type="cellIs" dxfId="5862" priority="5905" stopIfTrue="1" operator="equal">
      <formula>"INPUT STARTER IN COLUMN D"</formula>
    </cfRule>
  </conditionalFormatting>
  <conditionalFormatting sqref="P10">
    <cfRule type="cellIs" dxfId="5861" priority="5904" stopIfTrue="1" operator="equal">
      <formula>"INPUT STARTER IN COLUMN D"</formula>
    </cfRule>
  </conditionalFormatting>
  <conditionalFormatting sqref="P11">
    <cfRule type="cellIs" dxfId="5860" priority="5903" stopIfTrue="1" operator="equal">
      <formula>"INPUT STARTER IN COLUMN D"</formula>
    </cfRule>
  </conditionalFormatting>
  <conditionalFormatting sqref="P13">
    <cfRule type="cellIs" dxfId="5859" priority="5902" stopIfTrue="1" operator="equal">
      <formula>"INPUT STARTER IN COLUMN D"</formula>
    </cfRule>
  </conditionalFormatting>
  <conditionalFormatting sqref="P14">
    <cfRule type="cellIs" dxfId="5858" priority="5901" stopIfTrue="1" operator="equal">
      <formula>"INPUT STARTER IN COLUMN D"</formula>
    </cfRule>
  </conditionalFormatting>
  <conditionalFormatting sqref="P15">
    <cfRule type="cellIs" dxfId="5857" priority="5900" stopIfTrue="1" operator="equal">
      <formula>"INPUT STARTER IN COLUMN D"</formula>
    </cfRule>
  </conditionalFormatting>
  <conditionalFormatting sqref="P16">
    <cfRule type="cellIs" dxfId="5856" priority="5899" stopIfTrue="1" operator="equal">
      <formula>"INPUT STARTER IN COLUMN D"</formula>
    </cfRule>
  </conditionalFormatting>
  <conditionalFormatting sqref="P18">
    <cfRule type="cellIs" dxfId="5855" priority="5898" stopIfTrue="1" operator="equal">
      <formula>"INPUT STARTER IN COLUMN D"</formula>
    </cfRule>
  </conditionalFormatting>
  <conditionalFormatting sqref="P19">
    <cfRule type="cellIs" dxfId="5854" priority="5897" stopIfTrue="1" operator="equal">
      <formula>"INPUT STARTER IN COLUMN D"</formula>
    </cfRule>
  </conditionalFormatting>
  <conditionalFormatting sqref="P20">
    <cfRule type="cellIs" dxfId="5853" priority="5896" stopIfTrue="1" operator="equal">
      <formula>"INPUT STARTER IN COLUMN D"</formula>
    </cfRule>
  </conditionalFormatting>
  <conditionalFormatting sqref="P21">
    <cfRule type="cellIs" dxfId="5852" priority="5895" stopIfTrue="1" operator="equal">
      <formula>"INPUT STARTER IN COLUMN D"</formula>
    </cfRule>
  </conditionalFormatting>
  <conditionalFormatting sqref="P23">
    <cfRule type="cellIs" dxfId="5851" priority="5894" stopIfTrue="1" operator="equal">
      <formula>"INPUT STARTER IN COLUMN D"</formula>
    </cfRule>
  </conditionalFormatting>
  <conditionalFormatting sqref="P24">
    <cfRule type="cellIs" dxfId="5850" priority="5893" stopIfTrue="1" operator="equal">
      <formula>"INPUT STARTER IN COLUMN D"</formula>
    </cfRule>
  </conditionalFormatting>
  <conditionalFormatting sqref="P25">
    <cfRule type="cellIs" dxfId="5849" priority="5892" stopIfTrue="1" operator="equal">
      <formula>"INPUT STARTER IN COLUMN D"</formula>
    </cfRule>
  </conditionalFormatting>
  <conditionalFormatting sqref="P26">
    <cfRule type="cellIs" dxfId="5848" priority="5891" stopIfTrue="1" operator="equal">
      <formula>"INPUT STARTER IN COLUMN D"</formula>
    </cfRule>
  </conditionalFormatting>
  <conditionalFormatting sqref="P28">
    <cfRule type="cellIs" dxfId="5847" priority="5890" stopIfTrue="1" operator="equal">
      <formula>"INPUT STARTER IN COLUMN D"</formula>
    </cfRule>
  </conditionalFormatting>
  <conditionalFormatting sqref="P29">
    <cfRule type="cellIs" dxfId="5846" priority="5889" stopIfTrue="1" operator="equal">
      <formula>"INPUT STARTER IN COLUMN D"</formula>
    </cfRule>
  </conditionalFormatting>
  <conditionalFormatting sqref="P30">
    <cfRule type="cellIs" dxfId="5845" priority="5888" stopIfTrue="1" operator="equal">
      <formula>"INPUT STARTER IN COLUMN D"</formula>
    </cfRule>
  </conditionalFormatting>
  <conditionalFormatting sqref="P31">
    <cfRule type="cellIs" dxfId="5844" priority="5887" stopIfTrue="1" operator="equal">
      <formula>"INPUT STARTER IN COLUMN D"</formula>
    </cfRule>
  </conditionalFormatting>
  <conditionalFormatting sqref="P33">
    <cfRule type="cellIs" dxfId="5843" priority="5886" stopIfTrue="1" operator="equal">
      <formula>"INPUT STARTER IN COLUMN D"</formula>
    </cfRule>
  </conditionalFormatting>
  <conditionalFormatting sqref="P34">
    <cfRule type="cellIs" dxfId="5842" priority="5885" stopIfTrue="1" operator="equal">
      <formula>"INPUT STARTER IN COLUMN D"</formula>
    </cfRule>
  </conditionalFormatting>
  <conditionalFormatting sqref="P35">
    <cfRule type="cellIs" dxfId="5841" priority="5884" stopIfTrue="1" operator="equal">
      <formula>"INPUT STARTER IN COLUMN D"</formula>
    </cfRule>
  </conditionalFormatting>
  <conditionalFormatting sqref="P36">
    <cfRule type="cellIs" dxfId="5840" priority="5883" stopIfTrue="1" operator="equal">
      <formula>"INPUT STARTER IN COLUMN D"</formula>
    </cfRule>
  </conditionalFormatting>
  <conditionalFormatting sqref="P37">
    <cfRule type="cellIs" dxfId="5839" priority="5882" stopIfTrue="1" operator="equal">
      <formula>"INPUT STARTER IN COLUMN D"</formula>
    </cfRule>
  </conditionalFormatting>
  <conditionalFormatting sqref="P38">
    <cfRule type="cellIs" dxfId="5838" priority="5881" stopIfTrue="1" operator="equal">
      <formula>"INPUT STARTER IN COLUMN D"</formula>
    </cfRule>
  </conditionalFormatting>
  <conditionalFormatting sqref="P39">
    <cfRule type="cellIs" dxfId="5837" priority="5880" stopIfTrue="1" operator="equal">
      <formula>"INPUT STARTER IN COLUMN D"</formula>
    </cfRule>
  </conditionalFormatting>
  <conditionalFormatting sqref="P40">
    <cfRule type="cellIs" dxfId="5836" priority="5879" stopIfTrue="1" operator="equal">
      <formula>"INPUT STARTER IN COLUMN D"</formula>
    </cfRule>
  </conditionalFormatting>
  <conditionalFormatting sqref="P42">
    <cfRule type="cellIs" dxfId="5835" priority="5878" stopIfTrue="1" operator="equal">
      <formula>"INPUT STARTER IN COLUMN D"</formula>
    </cfRule>
  </conditionalFormatting>
  <conditionalFormatting sqref="P43">
    <cfRule type="cellIs" dxfId="5834" priority="5877" stopIfTrue="1" operator="equal">
      <formula>"INPUT STARTER IN COLUMN D"</formula>
    </cfRule>
  </conditionalFormatting>
  <conditionalFormatting sqref="P44">
    <cfRule type="cellIs" dxfId="5833" priority="5876" stopIfTrue="1" operator="equal">
      <formula>"INPUT STARTER IN COLUMN D"</formula>
    </cfRule>
  </conditionalFormatting>
  <conditionalFormatting sqref="P45">
    <cfRule type="cellIs" dxfId="5832" priority="5875" stopIfTrue="1" operator="equal">
      <formula>"INPUT STARTER IN COLUMN D"</formula>
    </cfRule>
  </conditionalFormatting>
  <conditionalFormatting sqref="P46">
    <cfRule type="cellIs" dxfId="5831" priority="5874" stopIfTrue="1" operator="equal">
      <formula>"INPUT STARTER IN COLUMN D"</formula>
    </cfRule>
  </conditionalFormatting>
  <conditionalFormatting sqref="P47">
    <cfRule type="cellIs" dxfId="5830" priority="5873" stopIfTrue="1" operator="equal">
      <formula>"INPUT STARTER IN COLUMN D"</formula>
    </cfRule>
  </conditionalFormatting>
  <conditionalFormatting sqref="P49">
    <cfRule type="cellIs" dxfId="5829" priority="5872" stopIfTrue="1" operator="equal">
      <formula>"INPUT STARTER IN COLUMN D"</formula>
    </cfRule>
  </conditionalFormatting>
  <conditionalFormatting sqref="P50">
    <cfRule type="cellIs" dxfId="5828" priority="5871" stopIfTrue="1" operator="equal">
      <formula>"INPUT STARTER IN COLUMN D"</formula>
    </cfRule>
  </conditionalFormatting>
  <conditionalFormatting sqref="P51">
    <cfRule type="cellIs" dxfId="5827" priority="5870" stopIfTrue="1" operator="equal">
      <formula>"INPUT STARTER IN COLUMN D"</formula>
    </cfRule>
  </conditionalFormatting>
  <conditionalFormatting sqref="P52">
    <cfRule type="cellIs" dxfId="5826" priority="5869" stopIfTrue="1" operator="equal">
      <formula>"INPUT STARTER IN COLUMN D"</formula>
    </cfRule>
  </conditionalFormatting>
  <conditionalFormatting sqref="P53">
    <cfRule type="cellIs" dxfId="5825" priority="5868" stopIfTrue="1" operator="equal">
      <formula>"INPUT STARTER IN COLUMN D"</formula>
    </cfRule>
  </conditionalFormatting>
  <conditionalFormatting sqref="P54">
    <cfRule type="cellIs" dxfId="5824" priority="5867" stopIfTrue="1" operator="equal">
      <formula>"INPUT STARTER IN COLUMN D"</formula>
    </cfRule>
  </conditionalFormatting>
  <conditionalFormatting sqref="P56">
    <cfRule type="cellIs" dxfId="5823" priority="5866" stopIfTrue="1" operator="equal">
      <formula>"INPUT STARTER IN COLUMN D"</formula>
    </cfRule>
  </conditionalFormatting>
  <conditionalFormatting sqref="P57">
    <cfRule type="cellIs" dxfId="5822" priority="5865" stopIfTrue="1" operator="equal">
      <formula>"INPUT STARTER IN COLUMN D"</formula>
    </cfRule>
  </conditionalFormatting>
  <conditionalFormatting sqref="P58">
    <cfRule type="cellIs" dxfId="5821" priority="5864" stopIfTrue="1" operator="equal">
      <formula>"INPUT STARTER IN COLUMN D"</formula>
    </cfRule>
  </conditionalFormatting>
  <conditionalFormatting sqref="P59">
    <cfRule type="cellIs" dxfId="5820" priority="5863" stopIfTrue="1" operator="equal">
      <formula>"INPUT STARTER IN COLUMN D"</formula>
    </cfRule>
  </conditionalFormatting>
  <conditionalFormatting sqref="P60">
    <cfRule type="cellIs" dxfId="5819" priority="5862" stopIfTrue="1" operator="equal">
      <formula>"INPUT STARTER IN COLUMN D"</formula>
    </cfRule>
  </conditionalFormatting>
  <conditionalFormatting sqref="P61">
    <cfRule type="cellIs" dxfId="5818" priority="5861" stopIfTrue="1" operator="equal">
      <formula>"INPUT STARTER IN COLUMN D"</formula>
    </cfRule>
  </conditionalFormatting>
  <conditionalFormatting sqref="P63">
    <cfRule type="cellIs" dxfId="5817" priority="5860" stopIfTrue="1" operator="equal">
      <formula>"INPUT STARTER IN COLUMN D"</formula>
    </cfRule>
  </conditionalFormatting>
  <conditionalFormatting sqref="P64">
    <cfRule type="cellIs" dxfId="5816" priority="5859" stopIfTrue="1" operator="equal">
      <formula>"INPUT STARTER IN COLUMN D"</formula>
    </cfRule>
  </conditionalFormatting>
  <conditionalFormatting sqref="P65">
    <cfRule type="cellIs" dxfId="5815" priority="5858" stopIfTrue="1" operator="equal">
      <formula>"INPUT STARTER IN COLUMN D"</formula>
    </cfRule>
  </conditionalFormatting>
  <conditionalFormatting sqref="P66">
    <cfRule type="cellIs" dxfId="5814" priority="5857" stopIfTrue="1" operator="equal">
      <formula>"INPUT STARTER IN COLUMN D"</formula>
    </cfRule>
  </conditionalFormatting>
  <conditionalFormatting sqref="P67">
    <cfRule type="cellIs" dxfId="5813" priority="5856" stopIfTrue="1" operator="equal">
      <formula>"INPUT STARTER IN COLUMN D"</formula>
    </cfRule>
  </conditionalFormatting>
  <conditionalFormatting sqref="P68">
    <cfRule type="cellIs" dxfId="5812" priority="5855" stopIfTrue="1" operator="equal">
      <formula>"INPUT STARTER IN COLUMN D"</formula>
    </cfRule>
  </conditionalFormatting>
  <conditionalFormatting sqref="P69">
    <cfRule type="cellIs" dxfId="5811" priority="5854" stopIfTrue="1" operator="equal">
      <formula>"INPUT STARTER IN COLUMN D"</formula>
    </cfRule>
  </conditionalFormatting>
  <conditionalFormatting sqref="P71">
    <cfRule type="cellIs" dxfId="5810" priority="5853" stopIfTrue="1" operator="equal">
      <formula>"INPUT STARTER IN COLUMN D"</formula>
    </cfRule>
  </conditionalFormatting>
  <conditionalFormatting sqref="P72">
    <cfRule type="cellIs" dxfId="5809" priority="5852" stopIfTrue="1" operator="equal">
      <formula>"INPUT STARTER IN COLUMN D"</formula>
    </cfRule>
  </conditionalFormatting>
  <conditionalFormatting sqref="P73">
    <cfRule type="cellIs" dxfId="5808" priority="5851" stopIfTrue="1" operator="equal">
      <formula>"INPUT STARTER IN COLUMN D"</formula>
    </cfRule>
  </conditionalFormatting>
  <conditionalFormatting sqref="P74">
    <cfRule type="cellIs" dxfId="5807" priority="5850" stopIfTrue="1" operator="equal">
      <formula>"INPUT STARTER IN COLUMN D"</formula>
    </cfRule>
  </conditionalFormatting>
  <conditionalFormatting sqref="P75">
    <cfRule type="cellIs" dxfId="5806" priority="5849" stopIfTrue="1" operator="equal">
      <formula>"INPUT STARTER IN COLUMN D"</formula>
    </cfRule>
  </conditionalFormatting>
  <conditionalFormatting sqref="P76">
    <cfRule type="cellIs" dxfId="5805" priority="5848" stopIfTrue="1" operator="equal">
      <formula>"INPUT STARTER IN COLUMN D"</formula>
    </cfRule>
  </conditionalFormatting>
  <conditionalFormatting sqref="P77">
    <cfRule type="cellIs" dxfId="5804" priority="5847" stopIfTrue="1" operator="equal">
      <formula>"INPUT STARTER IN COLUMN D"</formula>
    </cfRule>
  </conditionalFormatting>
  <conditionalFormatting sqref="P78">
    <cfRule type="cellIs" dxfId="5803" priority="5846" stopIfTrue="1" operator="equal">
      <formula>"INPUT STARTER IN COLUMN D"</formula>
    </cfRule>
  </conditionalFormatting>
  <conditionalFormatting sqref="P79">
    <cfRule type="cellIs" dxfId="5802" priority="5845" stopIfTrue="1" operator="equal">
      <formula>"INPUT STARTER IN COLUMN D"</formula>
    </cfRule>
  </conditionalFormatting>
  <conditionalFormatting sqref="P80">
    <cfRule type="cellIs" dxfId="5801" priority="5844" stopIfTrue="1" operator="equal">
      <formula>"INPUT STARTER IN COLUMN D"</formula>
    </cfRule>
  </conditionalFormatting>
  <conditionalFormatting sqref="P81">
    <cfRule type="cellIs" dxfId="5800" priority="5843" stopIfTrue="1" operator="equal">
      <formula>"INPUT STARTER IN COLUMN D"</formula>
    </cfRule>
  </conditionalFormatting>
  <conditionalFormatting sqref="P82">
    <cfRule type="cellIs" dxfId="5799" priority="5842" stopIfTrue="1" operator="equal">
      <formula>"INPUT STARTER IN COLUMN D"</formula>
    </cfRule>
  </conditionalFormatting>
  <conditionalFormatting sqref="P84">
    <cfRule type="cellIs" dxfId="5798" priority="5841" stopIfTrue="1" operator="equal">
      <formula>"INPUT STARTER IN COLUMN D"</formula>
    </cfRule>
  </conditionalFormatting>
  <conditionalFormatting sqref="P85">
    <cfRule type="cellIs" dxfId="5797" priority="5840" stopIfTrue="1" operator="equal">
      <formula>"INPUT STARTER IN COLUMN D"</formula>
    </cfRule>
  </conditionalFormatting>
  <conditionalFormatting sqref="P86">
    <cfRule type="cellIs" dxfId="5796" priority="5839" stopIfTrue="1" operator="equal">
      <formula>"INPUT STARTER IN COLUMN D"</formula>
    </cfRule>
  </conditionalFormatting>
  <conditionalFormatting sqref="P87">
    <cfRule type="cellIs" dxfId="5795" priority="5838" stopIfTrue="1" operator="equal">
      <formula>"INPUT STARTER IN COLUMN D"</formula>
    </cfRule>
  </conditionalFormatting>
  <conditionalFormatting sqref="P88">
    <cfRule type="cellIs" dxfId="5794" priority="5837" stopIfTrue="1" operator="equal">
      <formula>"INPUT STARTER IN COLUMN D"</formula>
    </cfRule>
  </conditionalFormatting>
  <conditionalFormatting sqref="P89">
    <cfRule type="cellIs" dxfId="5793" priority="5836" stopIfTrue="1" operator="equal">
      <formula>"INPUT STARTER IN COLUMN D"</formula>
    </cfRule>
  </conditionalFormatting>
  <conditionalFormatting sqref="P91">
    <cfRule type="cellIs" dxfId="5792" priority="5835" stopIfTrue="1" operator="equal">
      <formula>"INPUT STARTER IN COLUMN D"</formula>
    </cfRule>
  </conditionalFormatting>
  <conditionalFormatting sqref="P92">
    <cfRule type="cellIs" dxfId="5791" priority="5834" stopIfTrue="1" operator="equal">
      <formula>"INPUT STARTER IN COLUMN D"</formula>
    </cfRule>
  </conditionalFormatting>
  <conditionalFormatting sqref="P93">
    <cfRule type="cellIs" dxfId="5790" priority="5833" stopIfTrue="1" operator="equal">
      <formula>"INPUT STARTER IN COLUMN D"</formula>
    </cfRule>
  </conditionalFormatting>
  <conditionalFormatting sqref="P94">
    <cfRule type="cellIs" dxfId="5789" priority="5832" stopIfTrue="1" operator="equal">
      <formula>"INPUT STARTER IN COLUMN D"</formula>
    </cfRule>
  </conditionalFormatting>
  <conditionalFormatting sqref="P95">
    <cfRule type="cellIs" dxfId="5788" priority="5831" stopIfTrue="1" operator="equal">
      <formula>"INPUT STARTER IN COLUMN D"</formula>
    </cfRule>
  </conditionalFormatting>
  <conditionalFormatting sqref="P96">
    <cfRule type="cellIs" dxfId="5787" priority="5830" stopIfTrue="1" operator="equal">
      <formula>"INPUT STARTER IN COLUMN D"</formula>
    </cfRule>
  </conditionalFormatting>
  <conditionalFormatting sqref="P97">
    <cfRule type="cellIs" dxfId="5786" priority="5829" stopIfTrue="1" operator="equal">
      <formula>"INPUT STARTER IN COLUMN D"</formula>
    </cfRule>
  </conditionalFormatting>
  <conditionalFormatting sqref="P98">
    <cfRule type="cellIs" dxfId="5785" priority="5828" stopIfTrue="1" operator="equal">
      <formula>"INPUT STARTER IN COLUMN D"</formula>
    </cfRule>
  </conditionalFormatting>
  <conditionalFormatting sqref="P99">
    <cfRule type="cellIs" dxfId="5784" priority="5827" stopIfTrue="1" operator="equal">
      <formula>"INPUT STARTER IN COLUMN D"</formula>
    </cfRule>
  </conditionalFormatting>
  <conditionalFormatting sqref="P100">
    <cfRule type="cellIs" dxfId="5783" priority="5826" stopIfTrue="1" operator="equal">
      <formula>"INPUT STARTER IN COLUMN D"</formula>
    </cfRule>
  </conditionalFormatting>
  <conditionalFormatting sqref="P101">
    <cfRule type="cellIs" dxfId="5782" priority="5825" stopIfTrue="1" operator="equal">
      <formula>"INPUT STARTER IN COLUMN D"</formula>
    </cfRule>
  </conditionalFormatting>
  <conditionalFormatting sqref="P102">
    <cfRule type="cellIs" dxfId="5781" priority="5824" stopIfTrue="1" operator="equal">
      <formula>"INPUT STARTER IN COLUMN D"</formula>
    </cfRule>
  </conditionalFormatting>
  <conditionalFormatting sqref="P106">
    <cfRule type="cellIs" dxfId="5780" priority="5823" stopIfTrue="1" operator="equal">
      <formula>"INPUT STARTER IN COLUMN D"</formula>
    </cfRule>
  </conditionalFormatting>
  <conditionalFormatting sqref="P107">
    <cfRule type="cellIs" dxfId="5779" priority="5822" stopIfTrue="1" operator="equal">
      <formula>"INPUT STARTER IN COLUMN D"</formula>
    </cfRule>
  </conditionalFormatting>
  <conditionalFormatting sqref="P108">
    <cfRule type="cellIs" dxfId="5778" priority="5821" stopIfTrue="1" operator="equal">
      <formula>"INPUT STARTER IN COLUMN D"</formula>
    </cfRule>
  </conditionalFormatting>
  <conditionalFormatting sqref="P109">
    <cfRule type="cellIs" dxfId="5777" priority="5820" stopIfTrue="1" operator="equal">
      <formula>"INPUT STARTER IN COLUMN D"</formula>
    </cfRule>
  </conditionalFormatting>
  <conditionalFormatting sqref="P110">
    <cfRule type="cellIs" dxfId="5776" priority="5819" stopIfTrue="1" operator="equal">
      <formula>"INPUT STARTER IN COLUMN D"</formula>
    </cfRule>
  </conditionalFormatting>
  <conditionalFormatting sqref="P111">
    <cfRule type="cellIs" dxfId="5775" priority="5818" stopIfTrue="1" operator="equal">
      <formula>"INPUT STARTER IN COLUMN D"</formula>
    </cfRule>
  </conditionalFormatting>
  <conditionalFormatting sqref="P112">
    <cfRule type="cellIs" dxfId="5774" priority="5817" stopIfTrue="1" operator="equal">
      <formula>"INPUT STARTER IN COLUMN D"</formula>
    </cfRule>
  </conditionalFormatting>
  <conditionalFormatting sqref="P113">
    <cfRule type="cellIs" dxfId="5773" priority="5816" stopIfTrue="1" operator="equal">
      <formula>"INPUT STARTER IN COLUMN D"</formula>
    </cfRule>
  </conditionalFormatting>
  <conditionalFormatting sqref="P114">
    <cfRule type="cellIs" dxfId="5772" priority="5815" stopIfTrue="1" operator="equal">
      <formula>"INPUT STARTER IN COLUMN D"</formula>
    </cfRule>
  </conditionalFormatting>
  <conditionalFormatting sqref="P115">
    <cfRule type="cellIs" dxfId="5771" priority="5814" stopIfTrue="1" operator="equal">
      <formula>"INPUT STARTER IN COLUMN D"</formula>
    </cfRule>
  </conditionalFormatting>
  <conditionalFormatting sqref="P116">
    <cfRule type="cellIs" dxfId="5770" priority="5813" stopIfTrue="1" operator="equal">
      <formula>"INPUT STARTER IN COLUMN D"</formula>
    </cfRule>
  </conditionalFormatting>
  <conditionalFormatting sqref="P117">
    <cfRule type="cellIs" dxfId="5769" priority="5812" stopIfTrue="1" operator="equal">
      <formula>"INPUT STARTER IN COLUMN D"</formula>
    </cfRule>
  </conditionalFormatting>
  <conditionalFormatting sqref="P118">
    <cfRule type="cellIs" dxfId="5768" priority="5811" stopIfTrue="1" operator="equal">
      <formula>"INPUT STARTER IN COLUMN D"</formula>
    </cfRule>
  </conditionalFormatting>
  <conditionalFormatting sqref="P119">
    <cfRule type="cellIs" dxfId="5767" priority="5810" stopIfTrue="1" operator="equal">
      <formula>"INPUT STARTER IN COLUMN D"</formula>
    </cfRule>
  </conditionalFormatting>
  <conditionalFormatting sqref="P120">
    <cfRule type="cellIs" dxfId="5766" priority="5809" stopIfTrue="1" operator="equal">
      <formula>"INPUT STARTER IN COLUMN D"</formula>
    </cfRule>
  </conditionalFormatting>
  <conditionalFormatting sqref="P121">
    <cfRule type="cellIs" dxfId="5765" priority="5808" stopIfTrue="1" operator="equal">
      <formula>"INPUT STARTER IN COLUMN D"</formula>
    </cfRule>
  </conditionalFormatting>
  <conditionalFormatting sqref="P122">
    <cfRule type="cellIs" dxfId="5764" priority="5807" stopIfTrue="1" operator="equal">
      <formula>"INPUT STARTER IN COLUMN D"</formula>
    </cfRule>
  </conditionalFormatting>
  <conditionalFormatting sqref="P123">
    <cfRule type="cellIs" dxfId="5763" priority="5806" stopIfTrue="1" operator="equal">
      <formula>"INPUT STARTER IN COLUMN D"</formula>
    </cfRule>
  </conditionalFormatting>
  <conditionalFormatting sqref="P125">
    <cfRule type="cellIs" dxfId="5762" priority="5805" stopIfTrue="1" operator="equal">
      <formula>"INPUT STARTER IN COLUMN D"</formula>
    </cfRule>
  </conditionalFormatting>
  <conditionalFormatting sqref="P126">
    <cfRule type="cellIs" dxfId="5761" priority="5804" stopIfTrue="1" operator="equal">
      <formula>"INPUT STARTER IN COLUMN D"</formula>
    </cfRule>
  </conditionalFormatting>
  <conditionalFormatting sqref="P127">
    <cfRule type="cellIs" dxfId="5760" priority="5803" stopIfTrue="1" operator="equal">
      <formula>"INPUT STARTER IN COLUMN D"</formula>
    </cfRule>
  </conditionalFormatting>
  <conditionalFormatting sqref="P128">
    <cfRule type="cellIs" dxfId="5759" priority="5802" stopIfTrue="1" operator="equal">
      <formula>"INPUT STARTER IN COLUMN D"</formula>
    </cfRule>
  </conditionalFormatting>
  <conditionalFormatting sqref="P129">
    <cfRule type="cellIs" dxfId="5758" priority="5801" stopIfTrue="1" operator="equal">
      <formula>"INPUT STARTER IN COLUMN D"</formula>
    </cfRule>
  </conditionalFormatting>
  <conditionalFormatting sqref="P130">
    <cfRule type="cellIs" dxfId="5757" priority="5800" stopIfTrue="1" operator="equal">
      <formula>"INPUT STARTER IN COLUMN D"</formula>
    </cfRule>
  </conditionalFormatting>
  <conditionalFormatting sqref="P131">
    <cfRule type="cellIs" dxfId="5756" priority="5799" stopIfTrue="1" operator="equal">
      <formula>"INPUT STARTER IN COLUMN D"</formula>
    </cfRule>
  </conditionalFormatting>
  <conditionalFormatting sqref="P132">
    <cfRule type="cellIs" dxfId="5755" priority="5798" stopIfTrue="1" operator="equal">
      <formula>"INPUT STARTER IN COLUMN D"</formula>
    </cfRule>
  </conditionalFormatting>
  <conditionalFormatting sqref="P133">
    <cfRule type="cellIs" dxfId="5754" priority="5797" stopIfTrue="1" operator="equal">
      <formula>"INPUT STARTER IN COLUMN D"</formula>
    </cfRule>
  </conditionalFormatting>
  <conditionalFormatting sqref="P134">
    <cfRule type="cellIs" dxfId="5753" priority="5796" stopIfTrue="1" operator="equal">
      <formula>"INPUT STARTER IN COLUMN D"</formula>
    </cfRule>
  </conditionalFormatting>
  <conditionalFormatting sqref="P135">
    <cfRule type="cellIs" dxfId="5752" priority="5795" stopIfTrue="1" operator="equal">
      <formula>"INPUT STARTER IN COLUMN D"</formula>
    </cfRule>
  </conditionalFormatting>
  <conditionalFormatting sqref="P136">
    <cfRule type="cellIs" dxfId="5751" priority="5794" stopIfTrue="1" operator="equal">
      <formula>"INPUT STARTER IN COLUMN D"</formula>
    </cfRule>
  </conditionalFormatting>
  <conditionalFormatting sqref="P137">
    <cfRule type="cellIs" dxfId="5750" priority="5793" stopIfTrue="1" operator="equal">
      <formula>"INPUT STARTER IN COLUMN D"</formula>
    </cfRule>
  </conditionalFormatting>
  <conditionalFormatting sqref="P139">
    <cfRule type="cellIs" dxfId="5749" priority="5792" stopIfTrue="1" operator="equal">
      <formula>"INPUT STARTER IN COLUMN D"</formula>
    </cfRule>
  </conditionalFormatting>
  <conditionalFormatting sqref="P140">
    <cfRule type="cellIs" dxfId="5748" priority="5791" stopIfTrue="1" operator="equal">
      <formula>"INPUT STARTER IN COLUMN D"</formula>
    </cfRule>
  </conditionalFormatting>
  <conditionalFormatting sqref="P141">
    <cfRule type="cellIs" dxfId="5747" priority="5790" stopIfTrue="1" operator="equal">
      <formula>"INPUT STARTER IN COLUMN D"</formula>
    </cfRule>
  </conditionalFormatting>
  <conditionalFormatting sqref="P142">
    <cfRule type="cellIs" dxfId="5746" priority="5789" stopIfTrue="1" operator="equal">
      <formula>"INPUT STARTER IN COLUMN D"</formula>
    </cfRule>
  </conditionalFormatting>
  <conditionalFormatting sqref="P143">
    <cfRule type="cellIs" dxfId="5745" priority="5788" stopIfTrue="1" operator="equal">
      <formula>"INPUT STARTER IN COLUMN D"</formula>
    </cfRule>
  </conditionalFormatting>
  <conditionalFormatting sqref="P144">
    <cfRule type="cellIs" dxfId="5744" priority="5787" stopIfTrue="1" operator="equal">
      <formula>"INPUT STARTER IN COLUMN D"</formula>
    </cfRule>
  </conditionalFormatting>
  <conditionalFormatting sqref="P145">
    <cfRule type="cellIs" dxfId="5743" priority="5786" stopIfTrue="1" operator="equal">
      <formula>"INPUT STARTER IN COLUMN D"</formula>
    </cfRule>
  </conditionalFormatting>
  <conditionalFormatting sqref="P146">
    <cfRule type="cellIs" dxfId="5742" priority="5785" stopIfTrue="1" operator="equal">
      <formula>"INPUT STARTER IN COLUMN D"</formula>
    </cfRule>
  </conditionalFormatting>
  <conditionalFormatting sqref="P147">
    <cfRule type="cellIs" dxfId="5741" priority="5784" stopIfTrue="1" operator="equal">
      <formula>"INPUT STARTER IN COLUMN D"</formula>
    </cfRule>
  </conditionalFormatting>
  <conditionalFormatting sqref="P148">
    <cfRule type="cellIs" dxfId="5740" priority="5783" stopIfTrue="1" operator="equal">
      <formula>"INPUT STARTER IN COLUMN D"</formula>
    </cfRule>
  </conditionalFormatting>
  <conditionalFormatting sqref="P149">
    <cfRule type="cellIs" dxfId="5739" priority="5782" stopIfTrue="1" operator="equal">
      <formula>"INPUT STARTER IN COLUMN D"</formula>
    </cfRule>
  </conditionalFormatting>
  <conditionalFormatting sqref="P150">
    <cfRule type="cellIs" dxfId="5738" priority="5781" stopIfTrue="1" operator="equal">
      <formula>"INPUT STARTER IN COLUMN D"</formula>
    </cfRule>
  </conditionalFormatting>
  <conditionalFormatting sqref="P151">
    <cfRule type="cellIs" dxfId="5737" priority="5780" stopIfTrue="1" operator="equal">
      <formula>"INPUT STARTER IN COLUMN D"</formula>
    </cfRule>
  </conditionalFormatting>
  <conditionalFormatting sqref="P152">
    <cfRule type="cellIs" dxfId="5736" priority="5779" stopIfTrue="1" operator="equal">
      <formula>"INPUT STARTER IN COLUMN D"</formula>
    </cfRule>
  </conditionalFormatting>
  <conditionalFormatting sqref="P153">
    <cfRule type="cellIs" dxfId="5735" priority="5778" stopIfTrue="1" operator="equal">
      <formula>"INPUT STARTER IN COLUMN D"</formula>
    </cfRule>
  </conditionalFormatting>
  <conditionalFormatting sqref="P154">
    <cfRule type="cellIs" dxfId="5734" priority="5777" stopIfTrue="1" operator="equal">
      <formula>"INPUT STARTER IN COLUMN D"</formula>
    </cfRule>
  </conditionalFormatting>
  <conditionalFormatting sqref="P155">
    <cfRule type="cellIs" dxfId="5733" priority="5776" stopIfTrue="1" operator="equal">
      <formula>"INPUT STARTER IN COLUMN D"</formula>
    </cfRule>
  </conditionalFormatting>
  <conditionalFormatting sqref="P157">
    <cfRule type="cellIs" dxfId="5732" priority="5775" stopIfTrue="1" operator="equal">
      <formula>"INPUT STARTER IN COLUMN D"</formula>
    </cfRule>
  </conditionalFormatting>
  <conditionalFormatting sqref="P158">
    <cfRule type="cellIs" dxfId="5731" priority="5774" stopIfTrue="1" operator="equal">
      <formula>"INPUT STARTER IN COLUMN D"</formula>
    </cfRule>
  </conditionalFormatting>
  <conditionalFormatting sqref="P159">
    <cfRule type="cellIs" dxfId="5730" priority="5773" stopIfTrue="1" operator="equal">
      <formula>"INPUT STARTER IN COLUMN D"</formula>
    </cfRule>
  </conditionalFormatting>
  <conditionalFormatting sqref="P160">
    <cfRule type="cellIs" dxfId="5729" priority="5772" stopIfTrue="1" operator="equal">
      <formula>"INPUT STARTER IN COLUMN D"</formula>
    </cfRule>
  </conditionalFormatting>
  <conditionalFormatting sqref="P161">
    <cfRule type="cellIs" dxfId="5728" priority="5771" stopIfTrue="1" operator="equal">
      <formula>"INPUT STARTER IN COLUMN D"</formula>
    </cfRule>
  </conditionalFormatting>
  <conditionalFormatting sqref="P162">
    <cfRule type="cellIs" dxfId="5727" priority="5770" stopIfTrue="1" operator="equal">
      <formula>"INPUT STARTER IN COLUMN D"</formula>
    </cfRule>
  </conditionalFormatting>
  <conditionalFormatting sqref="P163">
    <cfRule type="cellIs" dxfId="5726" priority="5769" stopIfTrue="1" operator="equal">
      <formula>"INPUT STARTER IN COLUMN D"</formula>
    </cfRule>
  </conditionalFormatting>
  <conditionalFormatting sqref="P165">
    <cfRule type="cellIs" dxfId="5725" priority="5768" stopIfTrue="1" operator="equal">
      <formula>"INPUT STARTER IN COLUMN D"</formula>
    </cfRule>
  </conditionalFormatting>
  <conditionalFormatting sqref="P166">
    <cfRule type="cellIs" dxfId="5724" priority="5767" stopIfTrue="1" operator="equal">
      <formula>"INPUT STARTER IN COLUMN D"</formula>
    </cfRule>
  </conditionalFormatting>
  <conditionalFormatting sqref="P167">
    <cfRule type="cellIs" dxfId="5723" priority="5766" stopIfTrue="1" operator="equal">
      <formula>"INPUT STARTER IN COLUMN D"</formula>
    </cfRule>
  </conditionalFormatting>
  <conditionalFormatting sqref="P168">
    <cfRule type="cellIs" dxfId="5722" priority="5765" stopIfTrue="1" operator="equal">
      <formula>"INPUT STARTER IN COLUMN D"</formula>
    </cfRule>
  </conditionalFormatting>
  <conditionalFormatting sqref="P169">
    <cfRule type="cellIs" dxfId="5721" priority="5764" stopIfTrue="1" operator="equal">
      <formula>"INPUT STARTER IN COLUMN D"</formula>
    </cfRule>
  </conditionalFormatting>
  <conditionalFormatting sqref="P170">
    <cfRule type="cellIs" dxfId="5720" priority="5763" stopIfTrue="1" operator="equal">
      <formula>"INPUT STARTER IN COLUMN D"</formula>
    </cfRule>
  </conditionalFormatting>
  <conditionalFormatting sqref="P171">
    <cfRule type="cellIs" dxfId="5719" priority="5762" stopIfTrue="1" operator="equal">
      <formula>"INPUT STARTER IN COLUMN D"</formula>
    </cfRule>
  </conditionalFormatting>
  <conditionalFormatting sqref="P172">
    <cfRule type="cellIs" dxfId="5718" priority="5761" stopIfTrue="1" operator="equal">
      <formula>"INPUT STARTER IN COLUMN D"</formula>
    </cfRule>
  </conditionalFormatting>
  <conditionalFormatting sqref="P173">
    <cfRule type="cellIs" dxfId="5717" priority="5760" stopIfTrue="1" operator="equal">
      <formula>"INPUT STARTER IN COLUMN D"</formula>
    </cfRule>
  </conditionalFormatting>
  <conditionalFormatting sqref="P174">
    <cfRule type="cellIs" dxfId="5716" priority="5759" stopIfTrue="1" operator="equal">
      <formula>"INPUT STARTER IN COLUMN D"</formula>
    </cfRule>
  </conditionalFormatting>
  <conditionalFormatting sqref="P176">
    <cfRule type="cellIs" dxfId="5715" priority="5758" stopIfTrue="1" operator="equal">
      <formula>"INPUT STARTER IN COLUMN D"</formula>
    </cfRule>
  </conditionalFormatting>
  <conditionalFormatting sqref="P177">
    <cfRule type="cellIs" dxfId="5714" priority="5757" stopIfTrue="1" operator="equal">
      <formula>"INPUT STARTER IN COLUMN D"</formula>
    </cfRule>
  </conditionalFormatting>
  <conditionalFormatting sqref="P178">
    <cfRule type="cellIs" dxfId="5713" priority="5756" stopIfTrue="1" operator="equal">
      <formula>"INPUT STARTER IN COLUMN D"</formula>
    </cfRule>
  </conditionalFormatting>
  <conditionalFormatting sqref="P179">
    <cfRule type="cellIs" dxfId="5712" priority="5755" stopIfTrue="1" operator="equal">
      <formula>"INPUT STARTER IN COLUMN D"</formula>
    </cfRule>
  </conditionalFormatting>
  <conditionalFormatting sqref="P180">
    <cfRule type="cellIs" dxfId="5711" priority="5754" stopIfTrue="1" operator="equal">
      <formula>"INPUT STARTER IN COLUMN D"</formula>
    </cfRule>
  </conditionalFormatting>
  <conditionalFormatting sqref="P181">
    <cfRule type="cellIs" dxfId="5710" priority="5753" stopIfTrue="1" operator="equal">
      <formula>"INPUT STARTER IN COLUMN D"</formula>
    </cfRule>
  </conditionalFormatting>
  <conditionalFormatting sqref="P182">
    <cfRule type="cellIs" dxfId="5709" priority="5752" stopIfTrue="1" operator="equal">
      <formula>"INPUT STARTER IN COLUMN D"</formula>
    </cfRule>
  </conditionalFormatting>
  <conditionalFormatting sqref="P183">
    <cfRule type="cellIs" dxfId="5708" priority="5751" stopIfTrue="1" operator="equal">
      <formula>"INPUT STARTER IN COLUMN D"</formula>
    </cfRule>
  </conditionalFormatting>
  <conditionalFormatting sqref="P184">
    <cfRule type="cellIs" dxfId="5707" priority="5750" stopIfTrue="1" operator="equal">
      <formula>"INPUT STARTER IN COLUMN D"</formula>
    </cfRule>
  </conditionalFormatting>
  <conditionalFormatting sqref="P185">
    <cfRule type="cellIs" dxfId="5706" priority="5749" stopIfTrue="1" operator="equal">
      <formula>"INPUT STARTER IN COLUMN D"</formula>
    </cfRule>
  </conditionalFormatting>
  <conditionalFormatting sqref="AK3:AK22">
    <cfRule type="cellIs" dxfId="5705" priority="5748" stopIfTrue="1" operator="equal">
      <formula>"must average at least 5 innings per start"</formula>
    </cfRule>
  </conditionalFormatting>
  <conditionalFormatting sqref="AK23">
    <cfRule type="cellIs" dxfId="5704" priority="5747" stopIfTrue="1" operator="equal">
      <formula>"must have 162 starts"</formula>
    </cfRule>
  </conditionalFormatting>
  <conditionalFormatting sqref="AH3:AH22">
    <cfRule type="cellIs" dxfId="5703" priority="5746" stopIfTrue="1" operator="equal">
      <formula>"must average at least 5 innings per start"</formula>
    </cfRule>
  </conditionalFormatting>
  <conditionalFormatting sqref="AH23">
    <cfRule type="cellIs" dxfId="5702" priority="5745" stopIfTrue="1" operator="equal">
      <formula>"must have 162 starts"</formula>
    </cfRule>
  </conditionalFormatting>
  <conditionalFormatting sqref="AG3:AG22">
    <cfRule type="cellIs" dxfId="5701" priority="5744" stopIfTrue="1" operator="equal">
      <formula>"must average at least 5 innings per start"</formula>
    </cfRule>
  </conditionalFormatting>
  <conditionalFormatting sqref="AG23">
    <cfRule type="cellIs" dxfId="5700" priority="5743" stopIfTrue="1" operator="equal">
      <formula>"must have 162 starts"</formula>
    </cfRule>
  </conditionalFormatting>
  <conditionalFormatting sqref="AK3:AK22">
    <cfRule type="cellIs" dxfId="5699" priority="5742" stopIfTrue="1" operator="equal">
      <formula>"must average at least 5 innings per start"</formula>
    </cfRule>
  </conditionalFormatting>
  <conditionalFormatting sqref="AK23">
    <cfRule type="cellIs" dxfId="5698" priority="5741" stopIfTrue="1" operator="equal">
      <formula>"must have 162 starts"</formula>
    </cfRule>
  </conditionalFormatting>
  <conditionalFormatting sqref="AH3:AH22">
    <cfRule type="cellIs" dxfId="5697" priority="5740" stopIfTrue="1" operator="equal">
      <formula>"must average at least 5 innings per start"</formula>
    </cfRule>
  </conditionalFormatting>
  <conditionalFormatting sqref="AH23">
    <cfRule type="cellIs" dxfId="5696" priority="5739" stopIfTrue="1" operator="equal">
      <formula>"must have 162 starts"</formula>
    </cfRule>
  </conditionalFormatting>
  <conditionalFormatting sqref="AG3:AG22">
    <cfRule type="cellIs" dxfId="5695" priority="5738" stopIfTrue="1" operator="equal">
      <formula>"must average at least 5 innings per start"</formula>
    </cfRule>
  </conditionalFormatting>
  <conditionalFormatting sqref="AG23">
    <cfRule type="cellIs" dxfId="5694" priority="5737" stopIfTrue="1" operator="equal">
      <formula>"must have 162 starts"</formula>
    </cfRule>
  </conditionalFormatting>
  <conditionalFormatting sqref="AG3:AG22">
    <cfRule type="cellIs" dxfId="5693" priority="5736" stopIfTrue="1" operator="equal">
      <formula>"must average at least 5 innings per start"</formula>
    </cfRule>
  </conditionalFormatting>
  <conditionalFormatting sqref="AG23">
    <cfRule type="cellIs" dxfId="5692" priority="5735" stopIfTrue="1" operator="equal">
      <formula>"must have 162 starts"</formula>
    </cfRule>
  </conditionalFormatting>
  <conditionalFormatting sqref="AK3:AK22">
    <cfRule type="cellIs" dxfId="5691" priority="5734" stopIfTrue="1" operator="equal">
      <formula>"must average at least 5 innings per start"</formula>
    </cfRule>
  </conditionalFormatting>
  <conditionalFormatting sqref="AK23">
    <cfRule type="cellIs" dxfId="5690" priority="5733" stopIfTrue="1" operator="equal">
      <formula>"must have 162 starts"</formula>
    </cfRule>
  </conditionalFormatting>
  <conditionalFormatting sqref="AK3:AK22">
    <cfRule type="cellIs" dxfId="5689" priority="5732" stopIfTrue="1" operator="equal">
      <formula>"must average at least 5 innings per start"</formula>
    </cfRule>
  </conditionalFormatting>
  <conditionalFormatting sqref="AK23">
    <cfRule type="cellIs" dxfId="5688" priority="5731" stopIfTrue="1" operator="equal">
      <formula>"must have 162 starts"</formula>
    </cfRule>
  </conditionalFormatting>
  <conditionalFormatting sqref="AK3:AK22">
    <cfRule type="cellIs" dxfId="5687" priority="5730" stopIfTrue="1" operator="equal">
      <formula>"must average at least 5 innings per start"</formula>
    </cfRule>
  </conditionalFormatting>
  <conditionalFormatting sqref="AK23">
    <cfRule type="cellIs" dxfId="5686" priority="5729" stopIfTrue="1" operator="equal">
      <formula>"must have 162 starts"</formula>
    </cfRule>
  </conditionalFormatting>
  <conditionalFormatting sqref="AK3:AK22">
    <cfRule type="cellIs" dxfId="5685" priority="5728" stopIfTrue="1" operator="equal">
      <formula>"must average at least 5 innings per start"</formula>
    </cfRule>
  </conditionalFormatting>
  <conditionalFormatting sqref="AK23">
    <cfRule type="cellIs" dxfId="5684" priority="5727" stopIfTrue="1" operator="equal">
      <formula>"must have 162 starts"</formula>
    </cfRule>
  </conditionalFormatting>
  <conditionalFormatting sqref="AK3:AK22">
    <cfRule type="cellIs" dxfId="5683" priority="5726" stopIfTrue="1" operator="equal">
      <formula>"must average at least 5 innings per start"</formula>
    </cfRule>
  </conditionalFormatting>
  <conditionalFormatting sqref="AK23">
    <cfRule type="cellIs" dxfId="5682" priority="5725" stopIfTrue="1" operator="equal">
      <formula>"must have 162 starts"</formula>
    </cfRule>
  </conditionalFormatting>
  <conditionalFormatting sqref="AK3:AK22">
    <cfRule type="cellIs" dxfId="5681" priority="5724" stopIfTrue="1" operator="equal">
      <formula>"must average at least 5 innings per start"</formula>
    </cfRule>
  </conditionalFormatting>
  <conditionalFormatting sqref="AK23">
    <cfRule type="cellIs" dxfId="5680" priority="5723" stopIfTrue="1" operator="equal">
      <formula>"must have 162 starts"</formula>
    </cfRule>
  </conditionalFormatting>
  <conditionalFormatting sqref="AK3:AK22">
    <cfRule type="cellIs" dxfId="5679" priority="5722" stopIfTrue="1" operator="equal">
      <formula>"must average at least 5 innings per start"</formula>
    </cfRule>
  </conditionalFormatting>
  <conditionalFormatting sqref="AK23">
    <cfRule type="cellIs" dxfId="5678" priority="5721" stopIfTrue="1" operator="equal">
      <formula>"must have 162 starts"</formula>
    </cfRule>
  </conditionalFormatting>
  <conditionalFormatting sqref="AH3:AH22">
    <cfRule type="cellIs" dxfId="5677" priority="5720" stopIfTrue="1" operator="equal">
      <formula>"must average at least 5 innings per start"</formula>
    </cfRule>
  </conditionalFormatting>
  <conditionalFormatting sqref="AH23">
    <cfRule type="cellIs" dxfId="5676" priority="5719" stopIfTrue="1" operator="equal">
      <formula>"must have 162 starts"</formula>
    </cfRule>
  </conditionalFormatting>
  <conditionalFormatting sqref="AG3:AG22">
    <cfRule type="cellIs" dxfId="5675" priority="5718" stopIfTrue="1" operator="equal">
      <formula>"must average at least 5 innings per start"</formula>
    </cfRule>
  </conditionalFormatting>
  <conditionalFormatting sqref="AG23">
    <cfRule type="cellIs" dxfId="5674" priority="5717" stopIfTrue="1" operator="equal">
      <formula>"must have 162 starts"</formula>
    </cfRule>
  </conditionalFormatting>
  <conditionalFormatting sqref="AK3:AK22">
    <cfRule type="cellIs" dxfId="5673" priority="5716" stopIfTrue="1" operator="equal">
      <formula>"must average at least 5 innings per start"</formula>
    </cfRule>
  </conditionalFormatting>
  <conditionalFormatting sqref="AK23">
    <cfRule type="cellIs" dxfId="5672" priority="5715" stopIfTrue="1" operator="equal">
      <formula>"must have 162 starts"</formula>
    </cfRule>
  </conditionalFormatting>
  <conditionalFormatting sqref="AK3:AK22">
    <cfRule type="cellIs" dxfId="5671" priority="5714" stopIfTrue="1" operator="equal">
      <formula>"must average at least 5 innings per start"</formula>
    </cfRule>
  </conditionalFormatting>
  <conditionalFormatting sqref="AK23">
    <cfRule type="cellIs" dxfId="5670" priority="5713" stopIfTrue="1" operator="equal">
      <formula>"must have 162 starts"</formula>
    </cfRule>
  </conditionalFormatting>
  <conditionalFormatting sqref="AK3:AK22">
    <cfRule type="cellIs" dxfId="5669" priority="5712" stopIfTrue="1" operator="equal">
      <formula>"must average at least 5 innings per start"</formula>
    </cfRule>
  </conditionalFormatting>
  <conditionalFormatting sqref="AK23">
    <cfRule type="cellIs" dxfId="5668" priority="5711" stopIfTrue="1" operator="equal">
      <formula>"must have 162 starts"</formula>
    </cfRule>
  </conditionalFormatting>
  <conditionalFormatting sqref="AK3:AK22">
    <cfRule type="cellIs" dxfId="5667" priority="5710" stopIfTrue="1" operator="equal">
      <formula>"must average at least 5 innings per start"</formula>
    </cfRule>
  </conditionalFormatting>
  <conditionalFormatting sqref="AK23">
    <cfRule type="cellIs" dxfId="5666" priority="5709" stopIfTrue="1" operator="equal">
      <formula>"must have 162 starts"</formula>
    </cfRule>
  </conditionalFormatting>
  <conditionalFormatting sqref="AK3:AK22">
    <cfRule type="cellIs" dxfId="5665" priority="5708" stopIfTrue="1" operator="equal">
      <formula>"must average at least 5 innings per start"</formula>
    </cfRule>
  </conditionalFormatting>
  <conditionalFormatting sqref="AK23">
    <cfRule type="cellIs" dxfId="5664" priority="5707" stopIfTrue="1" operator="equal">
      <formula>"must have 162 starts"</formula>
    </cfRule>
  </conditionalFormatting>
  <conditionalFormatting sqref="AK3:AK22">
    <cfRule type="cellIs" dxfId="5663" priority="5706" stopIfTrue="1" operator="equal">
      <formula>"must average at least 5 innings per start"</formula>
    </cfRule>
  </conditionalFormatting>
  <conditionalFormatting sqref="AK23">
    <cfRule type="cellIs" dxfId="5662" priority="5705" stopIfTrue="1" operator="equal">
      <formula>"must have 162 starts"</formula>
    </cfRule>
  </conditionalFormatting>
  <conditionalFormatting sqref="AK3:AK22">
    <cfRule type="cellIs" dxfId="5661" priority="5704" stopIfTrue="1" operator="equal">
      <formula>"must average at least 5 innings per start"</formula>
    </cfRule>
  </conditionalFormatting>
  <conditionalFormatting sqref="AK23">
    <cfRule type="cellIs" dxfId="5660" priority="5703" stopIfTrue="1" operator="equal">
      <formula>"must have 162 starts"</formula>
    </cfRule>
  </conditionalFormatting>
  <conditionalFormatting sqref="AK3:AK22">
    <cfRule type="cellIs" dxfId="5659" priority="5702" stopIfTrue="1" operator="equal">
      <formula>"must average at least 5 innings per start"</formula>
    </cfRule>
  </conditionalFormatting>
  <conditionalFormatting sqref="AK23">
    <cfRule type="cellIs" dxfId="5658" priority="5701" stopIfTrue="1" operator="equal">
      <formula>"must have 162 starts"</formula>
    </cfRule>
  </conditionalFormatting>
  <conditionalFormatting sqref="AG3:AG22">
    <cfRule type="cellIs" dxfId="5657" priority="5700" stopIfTrue="1" operator="equal">
      <formula>"must average at least 5 innings per start"</formula>
    </cfRule>
  </conditionalFormatting>
  <conditionalFormatting sqref="AG23">
    <cfRule type="cellIs" dxfId="5656" priority="5699" stopIfTrue="1" operator="equal">
      <formula>"must have 162 starts"</formula>
    </cfRule>
  </conditionalFormatting>
  <conditionalFormatting sqref="AK3:AK22">
    <cfRule type="cellIs" dxfId="5655" priority="5698" stopIfTrue="1" operator="equal">
      <formula>"must average at least 5 innings per start"</formula>
    </cfRule>
  </conditionalFormatting>
  <conditionalFormatting sqref="AK23">
    <cfRule type="cellIs" dxfId="5654" priority="5697" stopIfTrue="1" operator="equal">
      <formula>"must have 162 starts"</formula>
    </cfRule>
  </conditionalFormatting>
  <conditionalFormatting sqref="AK3:AK22">
    <cfRule type="cellIs" dxfId="5653" priority="5696" stopIfTrue="1" operator="equal">
      <formula>"must average at least 5 innings per start"</formula>
    </cfRule>
  </conditionalFormatting>
  <conditionalFormatting sqref="AK23">
    <cfRule type="cellIs" dxfId="5652" priority="5695" stopIfTrue="1" operator="equal">
      <formula>"must have 162 starts"</formula>
    </cfRule>
  </conditionalFormatting>
  <conditionalFormatting sqref="AK3:AK22">
    <cfRule type="cellIs" dxfId="5651" priority="5694" stopIfTrue="1" operator="equal">
      <formula>"must average at least 5 innings per start"</formula>
    </cfRule>
  </conditionalFormatting>
  <conditionalFormatting sqref="AK23">
    <cfRule type="cellIs" dxfId="5650" priority="5693" stopIfTrue="1" operator="equal">
      <formula>"must have 162 starts"</formula>
    </cfRule>
  </conditionalFormatting>
  <conditionalFormatting sqref="AK3:AK22">
    <cfRule type="cellIs" dxfId="5649" priority="5692" stopIfTrue="1" operator="equal">
      <formula>"must average at least 5 innings per start"</formula>
    </cfRule>
  </conditionalFormatting>
  <conditionalFormatting sqref="AK23">
    <cfRule type="cellIs" dxfId="5648" priority="5691" stopIfTrue="1" operator="equal">
      <formula>"must have 162 starts"</formula>
    </cfRule>
  </conditionalFormatting>
  <conditionalFormatting sqref="AK3:AK22">
    <cfRule type="cellIs" dxfId="5647" priority="5690" stopIfTrue="1" operator="equal">
      <formula>"must average at least 5 innings per start"</formula>
    </cfRule>
  </conditionalFormatting>
  <conditionalFormatting sqref="AK23">
    <cfRule type="cellIs" dxfId="5646" priority="5689" stopIfTrue="1" operator="equal">
      <formula>"must have 162 starts"</formula>
    </cfRule>
  </conditionalFormatting>
  <conditionalFormatting sqref="AK3:AK22">
    <cfRule type="cellIs" dxfId="5645" priority="5688" stopIfTrue="1" operator="equal">
      <formula>"must average at least 5 innings per start"</formula>
    </cfRule>
  </conditionalFormatting>
  <conditionalFormatting sqref="AK23">
    <cfRule type="cellIs" dxfId="5644" priority="5687" stopIfTrue="1" operator="equal">
      <formula>"must have 162 starts"</formula>
    </cfRule>
  </conditionalFormatting>
  <conditionalFormatting sqref="AK3:AK22">
    <cfRule type="cellIs" dxfId="5643" priority="5686" stopIfTrue="1" operator="equal">
      <formula>"must average at least 5 innings per start"</formula>
    </cfRule>
  </conditionalFormatting>
  <conditionalFormatting sqref="AK23">
    <cfRule type="cellIs" dxfId="5642" priority="5685" stopIfTrue="1" operator="equal">
      <formula>"must have 162 starts"</formula>
    </cfRule>
  </conditionalFormatting>
  <conditionalFormatting sqref="AG3:AG22">
    <cfRule type="cellIs" dxfId="5641" priority="5684" stopIfTrue="1" operator="equal">
      <formula>"must average at least 5 innings per start"</formula>
    </cfRule>
  </conditionalFormatting>
  <conditionalFormatting sqref="AG23">
    <cfRule type="cellIs" dxfId="5640" priority="5683" stopIfTrue="1" operator="equal">
      <formula>"must have 162 starts"</formula>
    </cfRule>
  </conditionalFormatting>
  <conditionalFormatting sqref="AK3:AK22">
    <cfRule type="cellIs" dxfId="5639" priority="5682" stopIfTrue="1" operator="equal">
      <formula>"must average at least 5 innings per start"</formula>
    </cfRule>
  </conditionalFormatting>
  <conditionalFormatting sqref="AK23">
    <cfRule type="cellIs" dxfId="5638" priority="5681" stopIfTrue="1" operator="equal">
      <formula>"must have 162 starts"</formula>
    </cfRule>
  </conditionalFormatting>
  <conditionalFormatting sqref="AK3:AK22">
    <cfRule type="cellIs" dxfId="5637" priority="5680" stopIfTrue="1" operator="equal">
      <formula>"must average at least 5 innings per start"</formula>
    </cfRule>
  </conditionalFormatting>
  <conditionalFormatting sqref="AK23">
    <cfRule type="cellIs" dxfId="5636" priority="5679" stopIfTrue="1" operator="equal">
      <formula>"must have 162 starts"</formula>
    </cfRule>
  </conditionalFormatting>
  <conditionalFormatting sqref="AK3:AK22">
    <cfRule type="cellIs" dxfId="5635" priority="5678" stopIfTrue="1" operator="equal">
      <formula>"must average at least 5 innings per start"</formula>
    </cfRule>
  </conditionalFormatting>
  <conditionalFormatting sqref="AK23">
    <cfRule type="cellIs" dxfId="5634" priority="5677" stopIfTrue="1" operator="equal">
      <formula>"must have 162 starts"</formula>
    </cfRule>
  </conditionalFormatting>
  <conditionalFormatting sqref="AK3:AK22">
    <cfRule type="cellIs" dxfId="5633" priority="5676" stopIfTrue="1" operator="equal">
      <formula>"must average at least 5 innings per start"</formula>
    </cfRule>
  </conditionalFormatting>
  <conditionalFormatting sqref="AK23">
    <cfRule type="cellIs" dxfId="5632" priority="5675" stopIfTrue="1" operator="equal">
      <formula>"must have 162 starts"</formula>
    </cfRule>
  </conditionalFormatting>
  <conditionalFormatting sqref="AK3:AK22">
    <cfRule type="cellIs" dxfId="5631" priority="5674" stopIfTrue="1" operator="equal">
      <formula>"must average at least 5 innings per start"</formula>
    </cfRule>
  </conditionalFormatting>
  <conditionalFormatting sqref="AK23">
    <cfRule type="cellIs" dxfId="5630" priority="5673" stopIfTrue="1" operator="equal">
      <formula>"must have 162 starts"</formula>
    </cfRule>
  </conditionalFormatting>
  <conditionalFormatting sqref="AK3:AK22">
    <cfRule type="cellIs" dxfId="5629" priority="5672" stopIfTrue="1" operator="equal">
      <formula>"must average at least 5 innings per start"</formula>
    </cfRule>
  </conditionalFormatting>
  <conditionalFormatting sqref="AK23">
    <cfRule type="cellIs" dxfId="5628" priority="5671" stopIfTrue="1" operator="equal">
      <formula>"must have 162 starts"</formula>
    </cfRule>
  </conditionalFormatting>
  <conditionalFormatting sqref="AG3:AG22">
    <cfRule type="cellIs" dxfId="5627" priority="5670" stopIfTrue="1" operator="equal">
      <formula>"must average at least 5 innings per start"</formula>
    </cfRule>
  </conditionalFormatting>
  <conditionalFormatting sqref="AG23">
    <cfRule type="cellIs" dxfId="5626" priority="5669" stopIfTrue="1" operator="equal">
      <formula>"must have 162 starts"</formula>
    </cfRule>
  </conditionalFormatting>
  <conditionalFormatting sqref="AK3:AK22">
    <cfRule type="cellIs" dxfId="5625" priority="5668" stopIfTrue="1" operator="equal">
      <formula>"must average at least 5 innings per start"</formula>
    </cfRule>
  </conditionalFormatting>
  <conditionalFormatting sqref="AK23">
    <cfRule type="cellIs" dxfId="5624" priority="5667" stopIfTrue="1" operator="equal">
      <formula>"must have 162 starts"</formula>
    </cfRule>
  </conditionalFormatting>
  <conditionalFormatting sqref="AK3:AK22">
    <cfRule type="cellIs" dxfId="5623" priority="5666" stopIfTrue="1" operator="equal">
      <formula>"must average at least 5 innings per start"</formula>
    </cfRule>
  </conditionalFormatting>
  <conditionalFormatting sqref="AK23">
    <cfRule type="cellIs" dxfId="5622" priority="5665" stopIfTrue="1" operator="equal">
      <formula>"must have 162 starts"</formula>
    </cfRule>
  </conditionalFormatting>
  <conditionalFormatting sqref="AK3:AK22">
    <cfRule type="cellIs" dxfId="5621" priority="5664" stopIfTrue="1" operator="equal">
      <formula>"must average at least 5 innings per start"</formula>
    </cfRule>
  </conditionalFormatting>
  <conditionalFormatting sqref="AK23">
    <cfRule type="cellIs" dxfId="5620" priority="5663" stopIfTrue="1" operator="equal">
      <formula>"must have 162 starts"</formula>
    </cfRule>
  </conditionalFormatting>
  <conditionalFormatting sqref="AK3:AK22">
    <cfRule type="cellIs" dxfId="5619" priority="5662" stopIfTrue="1" operator="equal">
      <formula>"must average at least 5 innings per start"</formula>
    </cfRule>
  </conditionalFormatting>
  <conditionalFormatting sqref="AK23">
    <cfRule type="cellIs" dxfId="5618" priority="5661" stopIfTrue="1" operator="equal">
      <formula>"must have 162 starts"</formula>
    </cfRule>
  </conditionalFormatting>
  <conditionalFormatting sqref="AK3:AK22">
    <cfRule type="cellIs" dxfId="5617" priority="5660" stopIfTrue="1" operator="equal">
      <formula>"must average at least 5 innings per start"</formula>
    </cfRule>
  </conditionalFormatting>
  <conditionalFormatting sqref="AK23">
    <cfRule type="cellIs" dxfId="5616" priority="5659" stopIfTrue="1" operator="equal">
      <formula>"must have 162 starts"</formula>
    </cfRule>
  </conditionalFormatting>
  <conditionalFormatting sqref="AG3:AG22">
    <cfRule type="cellIs" dxfId="5615" priority="5658" stopIfTrue="1" operator="equal">
      <formula>"must average at least 5 innings per start"</formula>
    </cfRule>
  </conditionalFormatting>
  <conditionalFormatting sqref="AG23">
    <cfRule type="cellIs" dxfId="5614" priority="5657" stopIfTrue="1" operator="equal">
      <formula>"must have 162 starts"</formula>
    </cfRule>
  </conditionalFormatting>
  <conditionalFormatting sqref="AK3:AK22">
    <cfRule type="cellIs" dxfId="5613" priority="5656" stopIfTrue="1" operator="equal">
      <formula>"must average at least 5 innings per start"</formula>
    </cfRule>
  </conditionalFormatting>
  <conditionalFormatting sqref="AK23">
    <cfRule type="cellIs" dxfId="5612" priority="5655" stopIfTrue="1" operator="equal">
      <formula>"must have 162 starts"</formula>
    </cfRule>
  </conditionalFormatting>
  <conditionalFormatting sqref="AK3:AK22">
    <cfRule type="cellIs" dxfId="5611" priority="5654" stopIfTrue="1" operator="equal">
      <formula>"must average at least 5 innings per start"</formula>
    </cfRule>
  </conditionalFormatting>
  <conditionalFormatting sqref="AK23">
    <cfRule type="cellIs" dxfId="5610" priority="5653" stopIfTrue="1" operator="equal">
      <formula>"must have 162 starts"</formula>
    </cfRule>
  </conditionalFormatting>
  <conditionalFormatting sqref="AK3:AK22">
    <cfRule type="cellIs" dxfId="5609" priority="5652" stopIfTrue="1" operator="equal">
      <formula>"must average at least 5 innings per start"</formula>
    </cfRule>
  </conditionalFormatting>
  <conditionalFormatting sqref="AK23">
    <cfRule type="cellIs" dxfId="5608" priority="5651" stopIfTrue="1" operator="equal">
      <formula>"must have 162 starts"</formula>
    </cfRule>
  </conditionalFormatting>
  <conditionalFormatting sqref="AK3:AK22">
    <cfRule type="cellIs" dxfId="5607" priority="5650" stopIfTrue="1" operator="equal">
      <formula>"must average at least 5 innings per start"</formula>
    </cfRule>
  </conditionalFormatting>
  <conditionalFormatting sqref="AK23">
    <cfRule type="cellIs" dxfId="5606" priority="5649" stopIfTrue="1" operator="equal">
      <formula>"must have 162 starts"</formula>
    </cfRule>
  </conditionalFormatting>
  <conditionalFormatting sqref="AG3:AG22">
    <cfRule type="cellIs" dxfId="5605" priority="5648" stopIfTrue="1" operator="equal">
      <formula>"must average at least 5 innings per start"</formula>
    </cfRule>
  </conditionalFormatting>
  <conditionalFormatting sqref="AG23">
    <cfRule type="cellIs" dxfId="5604" priority="5647" stopIfTrue="1" operator="equal">
      <formula>"must have 162 starts"</formula>
    </cfRule>
  </conditionalFormatting>
  <conditionalFormatting sqref="AK3:AK22">
    <cfRule type="cellIs" dxfId="5603" priority="5646" stopIfTrue="1" operator="equal">
      <formula>"must average at least 5 innings per start"</formula>
    </cfRule>
  </conditionalFormatting>
  <conditionalFormatting sqref="AK23">
    <cfRule type="cellIs" dxfId="5602" priority="5645" stopIfTrue="1" operator="equal">
      <formula>"must have 162 starts"</formula>
    </cfRule>
  </conditionalFormatting>
  <conditionalFormatting sqref="AK3:AK22">
    <cfRule type="cellIs" dxfId="5601" priority="5644" stopIfTrue="1" operator="equal">
      <formula>"must average at least 5 innings per start"</formula>
    </cfRule>
  </conditionalFormatting>
  <conditionalFormatting sqref="AK23">
    <cfRule type="cellIs" dxfId="5600" priority="5643" stopIfTrue="1" operator="equal">
      <formula>"must have 162 starts"</formula>
    </cfRule>
  </conditionalFormatting>
  <conditionalFormatting sqref="AK3:AK22">
    <cfRule type="cellIs" dxfId="5599" priority="5642" stopIfTrue="1" operator="equal">
      <formula>"must average at least 5 innings per start"</formula>
    </cfRule>
  </conditionalFormatting>
  <conditionalFormatting sqref="AK23">
    <cfRule type="cellIs" dxfId="5598" priority="5641" stopIfTrue="1" operator="equal">
      <formula>"must have 162 starts"</formula>
    </cfRule>
  </conditionalFormatting>
  <conditionalFormatting sqref="AG3:AG22">
    <cfRule type="cellIs" dxfId="5597" priority="5640" stopIfTrue="1" operator="equal">
      <formula>"must average at least 5 innings per start"</formula>
    </cfRule>
  </conditionalFormatting>
  <conditionalFormatting sqref="AG23">
    <cfRule type="cellIs" dxfId="5596" priority="5639" stopIfTrue="1" operator="equal">
      <formula>"must have 162 starts"</formula>
    </cfRule>
  </conditionalFormatting>
  <conditionalFormatting sqref="AK3:AK22">
    <cfRule type="cellIs" dxfId="5595" priority="5638" stopIfTrue="1" operator="equal">
      <formula>"must average at least 5 innings per start"</formula>
    </cfRule>
  </conditionalFormatting>
  <conditionalFormatting sqref="AK23">
    <cfRule type="cellIs" dxfId="5594" priority="5637" stopIfTrue="1" operator="equal">
      <formula>"must have 162 starts"</formula>
    </cfRule>
  </conditionalFormatting>
  <conditionalFormatting sqref="AG3:AG22">
    <cfRule type="cellIs" dxfId="5593" priority="5636" stopIfTrue="1" operator="equal">
      <formula>"must average at least 5 innings per start"</formula>
    </cfRule>
  </conditionalFormatting>
  <conditionalFormatting sqref="AG23">
    <cfRule type="cellIs" dxfId="5592" priority="5635" stopIfTrue="1" operator="equal">
      <formula>"must have 162 starts"</formula>
    </cfRule>
  </conditionalFormatting>
  <conditionalFormatting sqref="Q2">
    <cfRule type="cellIs" dxfId="5591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8082" divId="ROTcheck_28082" sourceType="sheet" destinationFile="C:\1kading\schedule\skedind.html"/>
    <webPublishItem id="29234" divId="ROTcheck_29234" sourceType="range" sourceRef="A1:O193" destinationFile="C:\1kading\schedule\skedind.html"/>
    <webPublishItem id="22772" divId="ROTcheck_22772" sourceType="range" sourceRef="A156:O185" destinationFile="C:\1kading\schedule\skedind.html"/>
  </webPublishItems>
</worksheet>
</file>

<file path=xl/worksheets/sheet12.xml><?xml version="1.0" encoding="utf-8"?>
<worksheet xmlns="http://schemas.openxmlformats.org/spreadsheetml/2006/main" xmlns:r="http://schemas.openxmlformats.org/officeDocument/2006/relationships">
  <dimension ref="A1:AJ232"/>
  <sheetViews>
    <sheetView zoomScale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5.7109375" style="15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23.57031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10.8554687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43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 t="s">
        <v>32</v>
      </c>
      <c r="C3" s="33" t="s">
        <v>1191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345</v>
      </c>
      <c r="T3" s="46" t="str">
        <f>IF(ISERROR((VLOOKUP(S3,Pitchers!$B$1:H$800,4,FALSE))),"",(VLOOKUP(S3,Pitchers!$B$1:H$800,4,FALSE)))</f>
        <v>OAK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16</v>
      </c>
      <c r="X3" s="47">
        <f>IF(ISERROR((VLOOKUP(S3,Pitchers!B$2:AA$795,11,FALSE))),"",(VLOOKUP(S3,Pitchers!B$2:AA$795,11,FALSE)))</f>
        <v>208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Y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LVT</v>
      </c>
    </row>
    <row r="4" spans="1:36" ht="12.75">
      <c r="A4" s="6">
        <v>4.0199999999999996</v>
      </c>
      <c r="B4" s="33" t="s">
        <v>32</v>
      </c>
      <c r="C4" s="33" t="s">
        <v>1191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586</v>
      </c>
      <c r="T4" s="46" t="str">
        <f>IF(ISERROR((VLOOKUP(S4,Pitchers!$B$1:H$800,4,FALSE))),"",(VLOOKUP(S4,Pitchers!$B$1:H$800,4,FALSE)))</f>
        <v>LAA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12</v>
      </c>
      <c r="X4" s="47">
        <f>IF(ISERROR((VLOOKUP(S4,Pitchers!B$2:AA$795,11,FALSE))),"",(VLOOKUP(S4,Pitchers!B$2:AA$795,11,FALSE)))</f>
        <v>208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LVT</v>
      </c>
    </row>
    <row r="5" spans="1:36" ht="12.75">
      <c r="A5" s="6">
        <v>4.03</v>
      </c>
      <c r="B5" s="33" t="s">
        <v>32</v>
      </c>
      <c r="C5" s="33" t="s">
        <v>1191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429</v>
      </c>
      <c r="T5" s="46" t="str">
        <f>IF(ISERROR((VLOOKUP(S5,Pitchers!$B$1:H$800,4,FALSE))),"",(VLOOKUP(S5,Pitchers!$B$1:H$800,4,FALSE)))</f>
        <v>TOT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12</v>
      </c>
      <c r="X5" s="47">
        <f>IF(ISERROR((VLOOKUP(S5,Pitchers!B$2:AA$795,11,FALSE))),"",(VLOOKUP(S5,Pitchers!B$2:AA$795,11,FALSE)))</f>
        <v>183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LVT</v>
      </c>
    </row>
    <row r="6" spans="1:36" ht="12.75">
      <c r="A6" s="6">
        <v>4.04</v>
      </c>
      <c r="B6" s="33" t="s">
        <v>32</v>
      </c>
      <c r="C6" s="33" t="s">
        <v>1191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1538</v>
      </c>
      <c r="T6" s="46" t="str">
        <f>IF(ISERROR((VLOOKUP(S6,Pitchers!$B$1:H$800,4,FALSE))),"",(VLOOKUP(S6,Pitchers!$B$1:H$800,4,FALSE)))</f>
        <v>STL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9</v>
      </c>
      <c r="X6" s="47">
        <f>IF(ISERROR((VLOOKUP(S6,Pitchers!B$2:AA$795,11,FALSE))),"",(VLOOKUP(S6,Pitchers!B$2:AA$795,11,FALSE)))</f>
        <v>32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LVT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606</v>
      </c>
      <c r="T7" s="46" t="str">
        <f>IF(ISERROR((VLOOKUP(S7,Pitchers!$B$1:H$800,4,FALSE))),"",(VLOOKUP(S7,Pitchers!$B$1:H$800,4,FALSE)))</f>
        <v>NYY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3</v>
      </c>
      <c r="X7" s="47">
        <f>IF(ISERROR((VLOOKUP(S7,Pitchers!B$2:AA$795,11,FALSE))),"",(VLOOKUP(S7,Pitchers!B$2:AA$795,11,FALSE)))</f>
        <v>168</v>
      </c>
      <c r="Y7" s="48"/>
      <c r="Z7" s="49"/>
      <c r="AA7" s="50"/>
      <c r="AB7" s="51" t="str">
        <f>IF(ISERROR((VLOOKUP(S7,Pitchers!B$2:AA$795,16,FALSE))),"",(VLOOKUP(S7,Pitchers!B$2:AA$795,16,FALSE)))</f>
        <v>Y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49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1301</v>
      </c>
      <c r="T8" s="46" t="str">
        <f>IF(ISERROR((VLOOKUP(S8,Pitchers!$B$1:H$800,4,FALSE))),"",(VLOOKUP(S8,Pitchers!$B$1:H$800,4,FALSE)))</f>
        <v>TOT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2</v>
      </c>
      <c r="X8" s="47">
        <f>IF(ISERROR((VLOOKUP(S8,Pitchers!B$2:AA$795,11,FALSE))),"",(VLOOKUP(S8,Pitchers!B$2:AA$795,11,FALSE)))</f>
        <v>200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Z</v>
      </c>
      <c r="AD8" s="53" t="str">
        <f>IF(ISERROR((VLOOKUP(S8,Pitchers!B$2:AA$795,18,FALSE))),"",(VLOOKUP(S8,Pitchers!B$2:AA$795,18,FALSE)))</f>
        <v>L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LVT</v>
      </c>
    </row>
    <row r="9" spans="1:36" ht="12.75">
      <c r="A9" s="6">
        <v>4.07</v>
      </c>
      <c r="B9" s="33"/>
      <c r="C9" s="33" t="s">
        <v>49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1328</v>
      </c>
      <c r="T9" s="46" t="str">
        <f>IF(ISERROR((VLOOKUP(S9,Pitchers!$B$1:H$800,4,FALSE))),"",(VLOOKUP(S9,Pitchers!$B$1:H$800,4,FALSE)))</f>
        <v>DET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2</v>
      </c>
      <c r="X9" s="47">
        <f>IF(ISERROR((VLOOKUP(S9,Pitchers!B$2:AA$795,11,FALSE))),"",(VLOOKUP(S9,Pitchers!B$2:AA$795,11,FALSE)))</f>
        <v>200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M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LVT</v>
      </c>
    </row>
    <row r="10" spans="1:36" ht="12.75">
      <c r="A10" s="6">
        <v>4.08</v>
      </c>
      <c r="B10" s="33"/>
      <c r="C10" s="33" t="s">
        <v>49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39" t="s">
        <v>1349</v>
      </c>
      <c r="T10" s="46" t="str">
        <f>IF(ISERROR((VLOOKUP(S10,Pitchers!$B$1:H$800,4,FALSE))),"",(VLOOKUP(S10,Pitchers!$B$1:H$800,4,FALSE)))</f>
        <v>STL</v>
      </c>
      <c r="U10" s="45" t="str">
        <f>IF(ISERROR((VLOOKUP(S10,Pitchers!B$2:AA$795,10,FALSE))),"",(VLOOKUP(S10,Pitchers!B$2:AA$795,10,FALSE)))</f>
        <v>L</v>
      </c>
      <c r="V10" s="41"/>
      <c r="W10" s="46">
        <f>IF(ISERROR((VLOOKUP(S10,Pitchers!B$2:AA$795,13,FALSE))),"",(VLOOKUP(S10,Pitchers!B$2:AA$795,13,FALSE)))</f>
        <v>1</v>
      </c>
      <c r="X10" s="47">
        <f>IF(ISERROR((VLOOKUP(S10,Pitchers!B$2:AA$795,11,FALSE))),"",(VLOOKUP(S10,Pitchers!B$2:AA$795,11,FALSE)))</f>
        <v>200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>M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LVT</v>
      </c>
    </row>
    <row r="11" spans="1:36" ht="12.75">
      <c r="A11" s="6">
        <v>4.09</v>
      </c>
      <c r="B11" s="33"/>
      <c r="C11" s="33" t="s">
        <v>49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39" t="s">
        <v>1659</v>
      </c>
      <c r="T11" s="46" t="str">
        <f>IF(ISERROR((VLOOKUP(S11,Pitchers!$B$1:H$800,4,FALSE))),"",(VLOOKUP(S11,Pitchers!$B$1:H$800,4,FALSE)))</f>
        <v>BOS</v>
      </c>
      <c r="U11" s="45" t="str">
        <f>IF(ISERROR((VLOOKUP(S11,Pitchers!B$2:AA$795,10,FALSE))),"",(VLOOKUP(S11,Pitchers!B$2:AA$795,10,FALSE)))</f>
        <v>L</v>
      </c>
      <c r="V11" s="41"/>
      <c r="W11" s="46">
        <f>IF(ISERROR((VLOOKUP(S11,Pitchers!B$2:AA$795,13,FALSE))),"",(VLOOKUP(S11,Pitchers!B$2:AA$795,13,FALSE)))</f>
        <v>1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>W</v>
      </c>
      <c r="AD11" s="53" t="str">
        <f>IF(ISERROR((VLOOKUP(S11,Pitchers!B$2:AA$795,18,FALSE))),"",(VLOOKUP(S11,Pitchers!B$2:AA$795,18,FALSE)))</f>
        <v xml:space="preserve"> 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LVT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43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47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4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LVT</v>
      </c>
    </row>
    <row r="14" spans="1:36" ht="12.75">
      <c r="A14" s="6">
        <v>4.12</v>
      </c>
      <c r="B14" s="33"/>
      <c r="C14" s="33" t="s">
        <v>47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43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LVT</v>
      </c>
    </row>
    <row r="15" spans="1:36" ht="12.75">
      <c r="A15" s="6">
        <v>4.13</v>
      </c>
      <c r="B15" s="33"/>
      <c r="C15" s="33" t="s">
        <v>47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LVT</v>
      </c>
    </row>
    <row r="16" spans="1:36" ht="12.75">
      <c r="A16" s="6">
        <v>4.1399999999999997</v>
      </c>
      <c r="B16" s="33"/>
      <c r="C16" s="33" t="s">
        <v>47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LVT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2" t="s">
        <v>32</v>
      </c>
      <c r="C18" s="33" t="s">
        <v>56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LVT</v>
      </c>
    </row>
    <row r="19" spans="1:36" ht="12.75">
      <c r="A19" s="6">
        <v>4.17</v>
      </c>
      <c r="B19" s="32" t="s">
        <v>32</v>
      </c>
      <c r="C19" s="33" t="s">
        <v>56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LVT</v>
      </c>
    </row>
    <row r="20" spans="1:36" ht="12.75">
      <c r="A20" s="6">
        <v>4.18</v>
      </c>
      <c r="B20" s="32" t="s">
        <v>32</v>
      </c>
      <c r="C20" s="33" t="s">
        <v>56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LVT</v>
      </c>
    </row>
    <row r="21" spans="1:36" ht="12.75">
      <c r="A21" s="6">
        <v>4.1900000000000004</v>
      </c>
      <c r="B21" s="32" t="s">
        <v>32</v>
      </c>
      <c r="C21" s="33" t="s">
        <v>56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LVT</v>
      </c>
    </row>
    <row r="22" spans="1:36" ht="12.75">
      <c r="A22" s="6">
        <v>4.2</v>
      </c>
      <c r="B22" s="32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14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LVT</v>
      </c>
    </row>
    <row r="24" spans="1:36" ht="12.75">
      <c r="A24" s="6">
        <v>4.22</v>
      </c>
      <c r="B24" s="33"/>
      <c r="C24" s="33" t="s">
        <v>14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LVT</v>
      </c>
    </row>
    <row r="25" spans="1:36" ht="12.75">
      <c r="A25" s="6">
        <v>4.2300000000000004</v>
      </c>
      <c r="B25" s="33"/>
      <c r="C25" s="33" t="s">
        <v>14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LVT</v>
      </c>
    </row>
    <row r="26" spans="1:36" ht="12.75">
      <c r="A26" s="6">
        <v>4.24</v>
      </c>
      <c r="B26" s="33"/>
      <c r="C26" s="33" t="s">
        <v>14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LVT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/>
      <c r="C28" s="33" t="s">
        <v>53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LVT</v>
      </c>
    </row>
    <row r="29" spans="1:36" ht="12.75">
      <c r="A29" s="6">
        <v>4.2699999999999996</v>
      </c>
      <c r="B29" s="33"/>
      <c r="C29" s="33" t="s">
        <v>53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LVT</v>
      </c>
    </row>
    <row r="30" spans="1:36" ht="12.75">
      <c r="A30" s="6">
        <v>4.28</v>
      </c>
      <c r="B30" s="33"/>
      <c r="C30" s="33" t="s">
        <v>53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LVT</v>
      </c>
    </row>
    <row r="31" spans="1:36" ht="12.75">
      <c r="A31" s="6">
        <v>4.29</v>
      </c>
      <c r="B31" s="33"/>
      <c r="C31" s="33" t="s">
        <v>53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LVT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/>
      <c r="C33" s="33" t="s">
        <v>17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LVT</v>
      </c>
    </row>
    <row r="34" spans="1:36" ht="12.75">
      <c r="A34" s="6">
        <v>5.0199999999999996</v>
      </c>
      <c r="B34" s="33"/>
      <c r="C34" s="33" t="s">
        <v>17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LVT</v>
      </c>
    </row>
    <row r="35" spans="1:36" ht="12.75">
      <c r="A35" s="6">
        <v>5.03</v>
      </c>
      <c r="B35" s="33"/>
      <c r="C35" s="33" t="s">
        <v>17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LVT</v>
      </c>
    </row>
    <row r="36" spans="1:36" ht="12.75">
      <c r="A36" s="6">
        <v>5.04</v>
      </c>
      <c r="B36" s="33"/>
      <c r="C36" s="33" t="s">
        <v>17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LVT</v>
      </c>
    </row>
    <row r="37" spans="1:36" ht="12.75">
      <c r="A37" s="6">
        <v>5.05</v>
      </c>
      <c r="B37" s="33" t="s">
        <v>32</v>
      </c>
      <c r="C37" s="33" t="s">
        <v>1919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LVT</v>
      </c>
    </row>
    <row r="38" spans="1:36" ht="12.75">
      <c r="A38" s="6">
        <v>5.0599999999999996</v>
      </c>
      <c r="B38" s="33" t="s">
        <v>32</v>
      </c>
      <c r="C38" s="33" t="s">
        <v>1919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LVT</v>
      </c>
    </row>
    <row r="39" spans="1:36" ht="12.75">
      <c r="A39" s="6">
        <v>5.07</v>
      </c>
      <c r="B39" s="33" t="s">
        <v>32</v>
      </c>
      <c r="C39" s="33" t="s">
        <v>1919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LVT</v>
      </c>
    </row>
    <row r="40" spans="1:36" ht="12.75">
      <c r="A40" s="6">
        <v>5.08</v>
      </c>
      <c r="B40" s="33" t="s">
        <v>32</v>
      </c>
      <c r="C40" s="33" t="s">
        <v>1919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LVT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45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LVT</v>
      </c>
    </row>
    <row r="43" spans="1:36" ht="12.75">
      <c r="A43" s="6">
        <v>5.1100000000000003</v>
      </c>
      <c r="B43" s="33"/>
      <c r="C43" s="33" t="s">
        <v>45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LVT</v>
      </c>
    </row>
    <row r="44" spans="1:36" ht="12.75">
      <c r="A44" s="6">
        <v>5.12</v>
      </c>
      <c r="B44" s="33"/>
      <c r="C44" s="33" t="s">
        <v>45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LVT</v>
      </c>
    </row>
    <row r="45" spans="1:36" ht="12.75">
      <c r="A45" s="6">
        <v>5.13</v>
      </c>
      <c r="B45" s="33"/>
      <c r="C45" s="33" t="s">
        <v>45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LVT</v>
      </c>
    </row>
    <row r="46" spans="1:36" ht="12.75">
      <c r="A46" s="6">
        <v>5.14</v>
      </c>
      <c r="B46" s="33" t="s">
        <v>32</v>
      </c>
      <c r="C46" s="33" t="s">
        <v>48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LVT</v>
      </c>
    </row>
    <row r="47" spans="1:36" ht="12.75">
      <c r="A47" s="6">
        <v>5.15</v>
      </c>
      <c r="B47" s="33" t="s">
        <v>32</v>
      </c>
      <c r="C47" s="33" t="s">
        <v>48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LVT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48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LVT</v>
      </c>
    </row>
    <row r="50" spans="1:36" ht="12.75">
      <c r="A50" s="6">
        <v>5.18</v>
      </c>
      <c r="B50" s="33" t="s">
        <v>32</v>
      </c>
      <c r="C50" s="33" t="s">
        <v>48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LVT</v>
      </c>
    </row>
    <row r="51" spans="1:36" ht="12.75">
      <c r="A51" s="6">
        <v>5.19</v>
      </c>
      <c r="B51" s="33"/>
      <c r="C51" s="33" t="s">
        <v>35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LVT</v>
      </c>
    </row>
    <row r="52" spans="1:36" ht="12.75">
      <c r="A52" s="6">
        <v>5.2</v>
      </c>
      <c r="B52" s="33"/>
      <c r="C52" s="33" t="s">
        <v>35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LVT</v>
      </c>
    </row>
    <row r="53" spans="1:36" ht="12.75">
      <c r="A53" s="6">
        <v>5.21</v>
      </c>
      <c r="B53" s="33"/>
      <c r="C53" s="33" t="s">
        <v>35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LVT</v>
      </c>
    </row>
    <row r="54" spans="1:36" ht="12.75">
      <c r="A54" s="6">
        <v>5.22</v>
      </c>
      <c r="B54" s="33"/>
      <c r="C54" s="33" t="s">
        <v>35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LVT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2" t="s">
        <v>32</v>
      </c>
      <c r="C56" s="33" t="s">
        <v>34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LVT</v>
      </c>
    </row>
    <row r="57" spans="1:36" ht="12.75">
      <c r="A57" s="6">
        <v>5.25</v>
      </c>
      <c r="B57" s="32" t="s">
        <v>32</v>
      </c>
      <c r="C57" s="33" t="s">
        <v>34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LVT</v>
      </c>
    </row>
    <row r="58" spans="1:36" ht="12.75">
      <c r="A58" s="6">
        <v>5.26</v>
      </c>
      <c r="B58" s="32" t="s">
        <v>32</v>
      </c>
      <c r="C58" s="33" t="s">
        <v>34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LVT</v>
      </c>
    </row>
    <row r="59" spans="1:36" ht="12.75">
      <c r="A59" s="6">
        <v>5.27</v>
      </c>
      <c r="B59" s="32" t="s">
        <v>32</v>
      </c>
      <c r="C59" s="33" t="s">
        <v>34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LVT</v>
      </c>
    </row>
    <row r="60" spans="1:36" ht="12.75">
      <c r="A60" s="6">
        <v>5.28</v>
      </c>
      <c r="B60" s="33" t="s">
        <v>32</v>
      </c>
      <c r="C60" s="33" t="s">
        <v>33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LVT</v>
      </c>
    </row>
    <row r="61" spans="1:36" ht="12.75">
      <c r="A61" s="6">
        <v>5.29</v>
      </c>
      <c r="B61" s="33" t="s">
        <v>32</v>
      </c>
      <c r="C61" s="33" t="s">
        <v>33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LVT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33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LVT</v>
      </c>
    </row>
    <row r="64" spans="1:36" ht="12.75">
      <c r="A64" s="6">
        <v>6.01</v>
      </c>
      <c r="B64" s="33" t="s">
        <v>32</v>
      </c>
      <c r="C64" s="33" t="s">
        <v>54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LVT</v>
      </c>
    </row>
    <row r="65" spans="1:36" ht="12.75">
      <c r="A65" s="6">
        <v>6.02</v>
      </c>
      <c r="B65" s="33" t="s">
        <v>32</v>
      </c>
      <c r="C65" s="33" t="s">
        <v>54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LVT</v>
      </c>
    </row>
    <row r="66" spans="1:36" ht="12.75">
      <c r="A66" s="6">
        <v>6.03</v>
      </c>
      <c r="B66" s="33" t="s">
        <v>32</v>
      </c>
      <c r="C66" s="33" t="s">
        <v>54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LVT</v>
      </c>
    </row>
    <row r="67" spans="1:36" ht="12.75">
      <c r="A67" s="6">
        <v>6.04</v>
      </c>
      <c r="B67" s="33" t="s">
        <v>32</v>
      </c>
      <c r="C67" s="33" t="s">
        <v>54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LVT</v>
      </c>
    </row>
    <row r="68" spans="1:36" ht="12.75">
      <c r="A68" s="6">
        <v>6.05</v>
      </c>
      <c r="B68" s="32" t="s">
        <v>32</v>
      </c>
      <c r="C68" s="33" t="s">
        <v>13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LVT</v>
      </c>
    </row>
    <row r="69" spans="1:36" ht="12.75">
      <c r="A69" s="6">
        <v>6.06</v>
      </c>
      <c r="B69" s="32" t="s">
        <v>32</v>
      </c>
      <c r="C69" s="33" t="s">
        <v>13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LVT</v>
      </c>
    </row>
    <row r="70" spans="1:36" ht="12.75">
      <c r="A70" s="6">
        <v>6.07</v>
      </c>
      <c r="B70" s="32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2" t="s">
        <v>32</v>
      </c>
      <c r="C71" s="33" t="s">
        <v>13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LVT</v>
      </c>
    </row>
    <row r="72" spans="1:36" ht="12.75">
      <c r="A72" s="6">
        <v>6.09</v>
      </c>
      <c r="B72" s="33" t="s">
        <v>32</v>
      </c>
      <c r="C72" s="33" t="s">
        <v>13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LVT</v>
      </c>
    </row>
    <row r="73" spans="1:36" ht="12.75">
      <c r="A73" s="6">
        <v>6.1</v>
      </c>
      <c r="B73" s="32" t="s">
        <v>32</v>
      </c>
      <c r="C73" s="33" t="s">
        <v>55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LVT</v>
      </c>
    </row>
    <row r="74" spans="1:36" ht="12.75">
      <c r="A74" s="6">
        <v>6.11</v>
      </c>
      <c r="B74" s="32" t="s">
        <v>32</v>
      </c>
      <c r="C74" s="33" t="s">
        <v>55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LVT</v>
      </c>
    </row>
    <row r="75" spans="1:36" ht="12.75">
      <c r="A75" s="6">
        <v>6.12</v>
      </c>
      <c r="B75" s="32" t="s">
        <v>32</v>
      </c>
      <c r="C75" s="33" t="s">
        <v>55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LVT</v>
      </c>
    </row>
    <row r="76" spans="1:36" ht="12.75">
      <c r="A76" s="6">
        <v>6.13</v>
      </c>
      <c r="B76" s="32" t="s">
        <v>32</v>
      </c>
      <c r="C76" s="33" t="s">
        <v>55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LVT</v>
      </c>
    </row>
    <row r="77" spans="1:36" ht="12.75">
      <c r="A77" s="6">
        <v>6.14</v>
      </c>
      <c r="B77" s="33" t="s">
        <v>32</v>
      </c>
      <c r="C77" s="33" t="s">
        <v>1918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LVT</v>
      </c>
    </row>
    <row r="78" spans="1:36" ht="12.75">
      <c r="A78" s="6">
        <v>6.15</v>
      </c>
      <c r="B78" s="33" t="s">
        <v>32</v>
      </c>
      <c r="C78" s="33" t="s">
        <v>1918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LVT</v>
      </c>
    </row>
    <row r="79" spans="1:36" ht="12.75">
      <c r="A79" s="6">
        <v>6.16</v>
      </c>
      <c r="B79" s="33" t="s">
        <v>32</v>
      </c>
      <c r="C79" s="33" t="s">
        <v>1918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LVT</v>
      </c>
    </row>
    <row r="80" spans="1:36" ht="12.75">
      <c r="A80" s="6">
        <v>6.17</v>
      </c>
      <c r="B80" s="33" t="s">
        <v>32</v>
      </c>
      <c r="C80" s="33" t="s">
        <v>1918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LVT</v>
      </c>
    </row>
    <row r="81" spans="1:36" ht="12.75">
      <c r="A81" s="6">
        <v>6.18</v>
      </c>
      <c r="B81" s="33"/>
      <c r="C81" s="33" t="s">
        <v>52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LVT</v>
      </c>
    </row>
    <row r="82" spans="1:36" ht="12.75">
      <c r="A82" s="6">
        <v>6.19</v>
      </c>
      <c r="B82" s="33"/>
      <c r="C82" s="33" t="s">
        <v>52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LVT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/>
      <c r="C84" s="33" t="s">
        <v>52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LVT</v>
      </c>
    </row>
    <row r="85" spans="1:36" ht="12.75">
      <c r="A85" s="6">
        <v>6.22</v>
      </c>
      <c r="B85" s="33"/>
      <c r="C85" s="33" t="s">
        <v>52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LVT</v>
      </c>
    </row>
    <row r="86" spans="1:36" ht="12.75">
      <c r="A86" s="6">
        <v>6.23</v>
      </c>
      <c r="B86" s="33" t="s">
        <v>32</v>
      </c>
      <c r="C86" s="33" t="s">
        <v>1917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LVT</v>
      </c>
    </row>
    <row r="87" spans="1:36" ht="12.75">
      <c r="A87" s="6">
        <v>6.24</v>
      </c>
      <c r="B87" s="33" t="s">
        <v>32</v>
      </c>
      <c r="C87" s="33" t="s">
        <v>1917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LVT</v>
      </c>
    </row>
    <row r="88" spans="1:36" ht="12.75">
      <c r="A88" s="6">
        <v>6.25</v>
      </c>
      <c r="B88" s="33" t="s">
        <v>32</v>
      </c>
      <c r="C88" s="33" t="s">
        <v>1917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LVT</v>
      </c>
    </row>
    <row r="89" spans="1:36" ht="12.75">
      <c r="A89" s="6">
        <v>6.26</v>
      </c>
      <c r="B89" s="33" t="s">
        <v>32</v>
      </c>
      <c r="C89" s="33" t="s">
        <v>1917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LVT</v>
      </c>
    </row>
    <row r="90" spans="1:36" ht="12.75">
      <c r="A90" s="6">
        <v>6.27</v>
      </c>
      <c r="B90" s="32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2.75">
      <c r="A91" s="6">
        <v>6.28</v>
      </c>
      <c r="B91" s="33"/>
      <c r="C91" s="33" t="s">
        <v>16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LVT</v>
      </c>
    </row>
    <row r="92" spans="1:36" ht="12.75">
      <c r="A92" s="6">
        <v>6.29</v>
      </c>
      <c r="B92" s="33"/>
      <c r="C92" s="33" t="s">
        <v>16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LVT</v>
      </c>
    </row>
    <row r="93" spans="1:36" ht="12.75">
      <c r="A93" s="6">
        <v>6.3</v>
      </c>
      <c r="B93" s="33"/>
      <c r="C93" s="33" t="s">
        <v>16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LVT</v>
      </c>
    </row>
    <row r="94" spans="1:36" ht="12.75">
      <c r="A94" s="6">
        <v>7.01</v>
      </c>
      <c r="B94" s="33" t="s">
        <v>32</v>
      </c>
      <c r="C94" s="33" t="s">
        <v>40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LVT</v>
      </c>
    </row>
    <row r="95" spans="1:36" ht="12.75">
      <c r="A95" s="6">
        <v>7.02</v>
      </c>
      <c r="B95" s="33" t="s">
        <v>32</v>
      </c>
      <c r="C95" s="33" t="s">
        <v>40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LVT</v>
      </c>
    </row>
    <row r="96" spans="1:36" ht="12.75">
      <c r="A96" s="6">
        <v>7.03</v>
      </c>
      <c r="B96" s="33" t="s">
        <v>32</v>
      </c>
      <c r="C96" s="33" t="s">
        <v>40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LVT</v>
      </c>
    </row>
    <row r="97" spans="1:36" ht="12.75">
      <c r="A97" s="6">
        <v>7.04</v>
      </c>
      <c r="B97" s="33"/>
      <c r="C97" s="33" t="s">
        <v>46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LVT</v>
      </c>
    </row>
    <row r="98" spans="1:36" ht="12.75">
      <c r="A98" s="6">
        <v>7.05</v>
      </c>
      <c r="B98" s="33"/>
      <c r="C98" s="33" t="s">
        <v>46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LVT</v>
      </c>
    </row>
    <row r="99" spans="1:36" ht="12.75">
      <c r="A99" s="6">
        <v>7.06</v>
      </c>
      <c r="B99" s="33"/>
      <c r="C99" s="33" t="s">
        <v>46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LVT</v>
      </c>
    </row>
    <row r="100" spans="1:36" ht="12.75">
      <c r="A100" s="6">
        <v>7.07</v>
      </c>
      <c r="B100" s="33" t="s">
        <v>32</v>
      </c>
      <c r="C100" s="33" t="s">
        <v>39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LVT</v>
      </c>
    </row>
    <row r="101" spans="1:36" ht="12.75">
      <c r="A101" s="6">
        <v>7.08</v>
      </c>
      <c r="B101" s="33" t="s">
        <v>32</v>
      </c>
      <c r="C101" s="33" t="s">
        <v>39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LVT</v>
      </c>
    </row>
    <row r="102" spans="1:36" ht="12.75">
      <c r="A102" s="6">
        <v>7.09</v>
      </c>
      <c r="B102" s="33" t="s">
        <v>32</v>
      </c>
      <c r="C102" s="33" t="s">
        <v>39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LVT</v>
      </c>
    </row>
    <row r="103" spans="1:36" ht="12.75">
      <c r="A103" s="6">
        <v>7.1</v>
      </c>
      <c r="B103" s="32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2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2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2" t="s">
        <v>32</v>
      </c>
      <c r="C106" s="33" t="s">
        <v>15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LVT</v>
      </c>
    </row>
    <row r="107" spans="1:36" ht="12.75">
      <c r="A107" s="6">
        <v>7.14</v>
      </c>
      <c r="B107" s="32" t="s">
        <v>32</v>
      </c>
      <c r="C107" s="33" t="s">
        <v>15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LVT</v>
      </c>
    </row>
    <row r="108" spans="1:36" ht="12.75">
      <c r="A108" s="6">
        <v>7.15</v>
      </c>
      <c r="B108" s="32" t="s">
        <v>32</v>
      </c>
      <c r="C108" s="33" t="s">
        <v>15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LVT</v>
      </c>
    </row>
    <row r="109" spans="1:36" ht="12.75">
      <c r="A109" s="6">
        <v>7.16</v>
      </c>
      <c r="B109" s="33"/>
      <c r="C109" s="33" t="s">
        <v>44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LVT</v>
      </c>
    </row>
    <row r="110" spans="1:36" ht="12.75">
      <c r="A110" s="6">
        <v>7.17</v>
      </c>
      <c r="B110" s="33"/>
      <c r="C110" s="33" t="s">
        <v>44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LVT</v>
      </c>
    </row>
    <row r="111" spans="1:36" ht="12.75">
      <c r="A111" s="6">
        <v>7.18</v>
      </c>
      <c r="B111" s="33"/>
      <c r="C111" s="33" t="s">
        <v>44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LVT</v>
      </c>
    </row>
    <row r="112" spans="1:36" ht="12.75">
      <c r="A112" s="6">
        <v>7.19</v>
      </c>
      <c r="B112" s="32" t="s">
        <v>32</v>
      </c>
      <c r="C112" s="33" t="s">
        <v>12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LVT</v>
      </c>
    </row>
    <row r="113" spans="1:36" ht="12.75">
      <c r="A113" s="6">
        <v>7.2</v>
      </c>
      <c r="B113" s="32" t="s">
        <v>32</v>
      </c>
      <c r="C113" s="33" t="s">
        <v>12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LVT</v>
      </c>
    </row>
    <row r="114" spans="1:36" ht="12.75">
      <c r="A114" s="6">
        <v>7.21</v>
      </c>
      <c r="B114" s="32" t="s">
        <v>32</v>
      </c>
      <c r="C114" s="33" t="s">
        <v>12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LVT</v>
      </c>
    </row>
    <row r="115" spans="1:36" ht="12.75">
      <c r="A115" s="6">
        <v>7.22</v>
      </c>
      <c r="B115" s="32" t="s">
        <v>32</v>
      </c>
      <c r="C115" s="33" t="s">
        <v>12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LVT</v>
      </c>
    </row>
    <row r="116" spans="1:36" ht="12.75">
      <c r="A116" s="6">
        <v>7.23</v>
      </c>
      <c r="B116" s="33" t="s">
        <v>32</v>
      </c>
      <c r="C116" s="33" t="s">
        <v>42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LVT</v>
      </c>
    </row>
    <row r="117" spans="1:36" ht="12.75">
      <c r="A117" s="6">
        <v>7.24</v>
      </c>
      <c r="B117" s="33" t="s">
        <v>32</v>
      </c>
      <c r="C117" s="33" t="s">
        <v>42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LVT</v>
      </c>
    </row>
    <row r="118" spans="1:36" ht="12.75">
      <c r="A118" s="6">
        <v>7.25</v>
      </c>
      <c r="B118" s="33" t="s">
        <v>32</v>
      </c>
      <c r="C118" s="33" t="s">
        <v>42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LVT</v>
      </c>
    </row>
    <row r="119" spans="1:36" ht="12.75">
      <c r="A119" s="6">
        <v>7.26</v>
      </c>
      <c r="B119" s="33" t="s">
        <v>32</v>
      </c>
      <c r="C119" s="33" t="s">
        <v>42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LVT</v>
      </c>
    </row>
    <row r="120" spans="1:36" ht="12.75">
      <c r="A120" s="6">
        <v>7.27</v>
      </c>
      <c r="B120" s="33"/>
      <c r="C120" s="33" t="s">
        <v>51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LVT</v>
      </c>
    </row>
    <row r="121" spans="1:36" ht="12.75">
      <c r="A121" s="6">
        <v>7.28</v>
      </c>
      <c r="B121" s="33"/>
      <c r="C121" s="33" t="s">
        <v>51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LVT</v>
      </c>
    </row>
    <row r="122" spans="1:36" ht="12.75">
      <c r="A122" s="6">
        <v>7.29</v>
      </c>
      <c r="B122" s="33"/>
      <c r="C122" s="33" t="s">
        <v>51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LVT</v>
      </c>
    </row>
    <row r="123" spans="1:36" ht="12.75">
      <c r="A123" s="6">
        <v>7.3</v>
      </c>
      <c r="B123" s="33"/>
      <c r="C123" s="33" t="s">
        <v>51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LVT</v>
      </c>
    </row>
    <row r="124" spans="1:36" ht="12.75">
      <c r="A124" s="6">
        <v>7.31</v>
      </c>
      <c r="B124" s="32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/>
      <c r="C125" s="33" t="s">
        <v>41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LVT</v>
      </c>
    </row>
    <row r="126" spans="1:36" ht="12.75">
      <c r="A126" s="6">
        <v>8.02</v>
      </c>
      <c r="B126" s="33"/>
      <c r="C126" s="33" t="s">
        <v>41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LVT</v>
      </c>
    </row>
    <row r="127" spans="1:36" ht="12.75">
      <c r="A127" s="6">
        <v>8.0299999999999994</v>
      </c>
      <c r="B127" s="33"/>
      <c r="C127" s="33" t="s">
        <v>41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LVT</v>
      </c>
    </row>
    <row r="128" spans="1:36" ht="12.75">
      <c r="A128" s="6">
        <v>8.0399999999999991</v>
      </c>
      <c r="B128" s="33"/>
      <c r="C128" s="33" t="s">
        <v>41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LVT</v>
      </c>
    </row>
    <row r="129" spans="1:36" ht="12.75">
      <c r="A129" s="6">
        <v>8.0500000000000007</v>
      </c>
      <c r="B129" s="33"/>
      <c r="C129" s="33" t="s">
        <v>40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LVT</v>
      </c>
    </row>
    <row r="130" spans="1:36" ht="12.75">
      <c r="A130" s="6">
        <v>8.06</v>
      </c>
      <c r="B130" s="33"/>
      <c r="C130" s="33" t="s">
        <v>40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LVT</v>
      </c>
    </row>
    <row r="131" spans="1:36" ht="12.75">
      <c r="A131" s="6">
        <v>8.07</v>
      </c>
      <c r="B131" s="33"/>
      <c r="C131" s="33" t="s">
        <v>40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LVT</v>
      </c>
    </row>
    <row r="132" spans="1:36" ht="12.75">
      <c r="A132" s="6">
        <v>8.08</v>
      </c>
      <c r="B132" s="33"/>
      <c r="C132" s="33" t="s">
        <v>40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LVT</v>
      </c>
    </row>
    <row r="133" spans="1:36" ht="12.75">
      <c r="A133" s="6">
        <v>8.09</v>
      </c>
      <c r="B133" s="33" t="s">
        <v>32</v>
      </c>
      <c r="C133" s="33" t="s">
        <v>44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LVT</v>
      </c>
    </row>
    <row r="134" spans="1:36" ht="12.75">
      <c r="A134" s="6">
        <v>8.1</v>
      </c>
      <c r="B134" s="33" t="s">
        <v>32</v>
      </c>
      <c r="C134" s="33" t="s">
        <v>44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LVT</v>
      </c>
    </row>
    <row r="135" spans="1:36" ht="12.75">
      <c r="A135" s="6">
        <v>8.11</v>
      </c>
      <c r="B135" s="33" t="s">
        <v>32</v>
      </c>
      <c r="C135" s="33" t="s">
        <v>44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LVT</v>
      </c>
    </row>
    <row r="136" spans="1:36" ht="12.75">
      <c r="A136" s="6">
        <v>8.1199999999999992</v>
      </c>
      <c r="B136" s="33" t="s">
        <v>32</v>
      </c>
      <c r="C136" s="33" t="s">
        <v>44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LVT</v>
      </c>
    </row>
    <row r="137" spans="1:36" ht="12.75">
      <c r="A137" s="6">
        <v>8.1300000000000008</v>
      </c>
      <c r="B137" s="33" t="s">
        <v>32</v>
      </c>
      <c r="C137" s="33" t="s">
        <v>16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LVT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 t="s">
        <v>32</v>
      </c>
      <c r="C139" s="33" t="s">
        <v>16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LVT</v>
      </c>
    </row>
    <row r="140" spans="1:36" ht="12.75">
      <c r="A140" s="6">
        <v>8.16</v>
      </c>
      <c r="B140" s="33" t="s">
        <v>32</v>
      </c>
      <c r="C140" s="33" t="s">
        <v>16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LVT</v>
      </c>
    </row>
    <row r="141" spans="1:36" ht="12.75">
      <c r="A141" s="6">
        <v>8.17</v>
      </c>
      <c r="B141" s="33" t="s">
        <v>32</v>
      </c>
      <c r="C141" s="33" t="s">
        <v>16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LVT</v>
      </c>
    </row>
    <row r="142" spans="1:36" ht="12.75">
      <c r="A142" s="6">
        <v>8.18</v>
      </c>
      <c r="B142" s="33" t="s">
        <v>32</v>
      </c>
      <c r="C142" s="33" t="s">
        <v>17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LVT</v>
      </c>
    </row>
    <row r="143" spans="1:36" ht="12.75">
      <c r="A143" s="6">
        <v>8.19</v>
      </c>
      <c r="B143" s="33" t="s">
        <v>32</v>
      </c>
      <c r="C143" s="33" t="s">
        <v>17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LVT</v>
      </c>
    </row>
    <row r="144" spans="1:36" ht="12.75">
      <c r="A144" s="6">
        <v>8.1999999999999993</v>
      </c>
      <c r="B144" s="33" t="s">
        <v>32</v>
      </c>
      <c r="C144" s="33" t="s">
        <v>17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LVT</v>
      </c>
    </row>
    <row r="145" spans="1:36" ht="12.75">
      <c r="A145" s="6">
        <v>8.2100000000000009</v>
      </c>
      <c r="B145" s="32"/>
      <c r="C145" s="33" t="s">
        <v>15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LVT</v>
      </c>
    </row>
    <row r="146" spans="1:36" ht="12.75">
      <c r="A146" s="6">
        <v>8.2200000000000006</v>
      </c>
      <c r="B146" s="32"/>
      <c r="C146" s="33" t="s">
        <v>15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LVT</v>
      </c>
    </row>
    <row r="147" spans="1:36" ht="12.75">
      <c r="A147" s="6">
        <v>8.23</v>
      </c>
      <c r="B147" s="32"/>
      <c r="C147" s="33" t="s">
        <v>15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LVT</v>
      </c>
    </row>
    <row r="148" spans="1:36" ht="12.75">
      <c r="A148" s="6">
        <v>8.24</v>
      </c>
      <c r="B148" s="32"/>
      <c r="C148" s="33" t="s">
        <v>15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LVT</v>
      </c>
    </row>
    <row r="149" spans="1:36" ht="12.75">
      <c r="A149" s="6">
        <v>8.25</v>
      </c>
      <c r="B149" s="33" t="s">
        <v>32</v>
      </c>
      <c r="C149" s="33" t="s">
        <v>46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LVT</v>
      </c>
    </row>
    <row r="150" spans="1:36" ht="12.75">
      <c r="A150" s="6">
        <v>8.26</v>
      </c>
      <c r="B150" s="33" t="s">
        <v>32</v>
      </c>
      <c r="C150" s="33" t="s">
        <v>46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LVT</v>
      </c>
    </row>
    <row r="151" spans="1:36" ht="12.75">
      <c r="A151" s="6">
        <v>8.27</v>
      </c>
      <c r="B151" s="33" t="s">
        <v>32</v>
      </c>
      <c r="C151" s="33" t="s">
        <v>46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LVT</v>
      </c>
    </row>
    <row r="152" spans="1:36" ht="12.75">
      <c r="A152" s="6">
        <v>8.2799999999999994</v>
      </c>
      <c r="B152" s="33" t="s">
        <v>32</v>
      </c>
      <c r="C152" s="33" t="s">
        <v>46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LVT</v>
      </c>
    </row>
    <row r="153" spans="1:36" ht="12.75">
      <c r="A153" s="6">
        <v>8.2899999999999991</v>
      </c>
      <c r="B153" s="33"/>
      <c r="C153" s="33" t="s">
        <v>1919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LVT</v>
      </c>
    </row>
    <row r="154" spans="1:36" ht="12.75">
      <c r="A154" s="6">
        <v>8.3000000000000007</v>
      </c>
      <c r="B154" s="33"/>
      <c r="C154" s="33" t="s">
        <v>1919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LVT</v>
      </c>
    </row>
    <row r="155" spans="1:36" ht="12.75">
      <c r="A155" s="6">
        <v>8.31</v>
      </c>
      <c r="B155" s="33"/>
      <c r="C155" s="33" t="s">
        <v>1919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LVT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2" t="s">
        <v>32</v>
      </c>
      <c r="C157" s="33" t="s">
        <v>35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LVT</v>
      </c>
    </row>
    <row r="158" spans="1:36" ht="12.75">
      <c r="A158" s="6">
        <v>9.0299999999999994</v>
      </c>
      <c r="B158" s="32" t="s">
        <v>32</v>
      </c>
      <c r="C158" s="33" t="s">
        <v>35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LVT</v>
      </c>
    </row>
    <row r="159" spans="1:36" ht="12.75">
      <c r="A159" s="6">
        <v>9.0399999999999991</v>
      </c>
      <c r="B159" s="32" t="s">
        <v>32</v>
      </c>
      <c r="C159" s="33" t="s">
        <v>35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LVT</v>
      </c>
    </row>
    <row r="160" spans="1:36" ht="12.75">
      <c r="A160" s="6">
        <v>9.0500000000000007</v>
      </c>
      <c r="B160" s="33"/>
      <c r="C160" s="33" t="s">
        <v>13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LVT</v>
      </c>
    </row>
    <row r="161" spans="1:36" ht="12.75">
      <c r="A161" s="6">
        <v>9.06</v>
      </c>
      <c r="B161" s="33"/>
      <c r="C161" s="33" t="s">
        <v>13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LVT</v>
      </c>
    </row>
    <row r="162" spans="1:36" ht="12.75">
      <c r="A162" s="6">
        <v>9.07</v>
      </c>
      <c r="B162" s="33"/>
      <c r="C162" s="33" t="s">
        <v>13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LVT</v>
      </c>
    </row>
    <row r="163" spans="1:36" ht="12.75">
      <c r="A163" s="6">
        <v>9.08</v>
      </c>
      <c r="B163" s="33"/>
      <c r="C163" s="33" t="s">
        <v>48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LVT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48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LVT</v>
      </c>
    </row>
    <row r="166" spans="1:36" ht="12.75">
      <c r="A166" s="6">
        <v>9.11</v>
      </c>
      <c r="B166" s="33"/>
      <c r="C166" s="33" t="s">
        <v>48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LVT</v>
      </c>
    </row>
    <row r="167" spans="1:36" ht="12.75">
      <c r="A167" s="6">
        <v>9.1199999999999992</v>
      </c>
      <c r="B167" s="33"/>
      <c r="C167" s="33" t="s">
        <v>33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LVT</v>
      </c>
    </row>
    <row r="168" spans="1:36" ht="12.75">
      <c r="A168" s="6">
        <v>9.1300000000000008</v>
      </c>
      <c r="B168" s="33"/>
      <c r="C168" s="33" t="s">
        <v>33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LVT</v>
      </c>
    </row>
    <row r="169" spans="1:36" ht="12.75">
      <c r="A169" s="6">
        <v>9.14</v>
      </c>
      <c r="B169" s="33"/>
      <c r="C169" s="33" t="s">
        <v>33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LVT</v>
      </c>
    </row>
    <row r="170" spans="1:36" ht="12.75">
      <c r="A170" s="6">
        <v>9.15</v>
      </c>
      <c r="B170" s="33"/>
      <c r="C170" s="33" t="s">
        <v>33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LVT</v>
      </c>
    </row>
    <row r="171" spans="1:36" ht="12.75">
      <c r="A171" s="6">
        <v>9.16</v>
      </c>
      <c r="B171" s="33" t="s">
        <v>32</v>
      </c>
      <c r="C171" s="33" t="s">
        <v>41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LVT</v>
      </c>
    </row>
    <row r="172" spans="1:36" ht="12.75">
      <c r="A172" s="6">
        <v>9.17</v>
      </c>
      <c r="B172" s="33" t="s">
        <v>32</v>
      </c>
      <c r="C172" s="33" t="s">
        <v>41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LVT</v>
      </c>
    </row>
    <row r="173" spans="1:36" ht="12.75">
      <c r="A173" s="6">
        <v>9.18</v>
      </c>
      <c r="B173" s="33" t="s">
        <v>32</v>
      </c>
      <c r="C173" s="33" t="s">
        <v>41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LVT</v>
      </c>
    </row>
    <row r="174" spans="1:36" ht="12.75">
      <c r="A174" s="6">
        <v>9.19</v>
      </c>
      <c r="B174" s="33"/>
      <c r="C174" s="33" t="s">
        <v>39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LVT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39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LVT</v>
      </c>
    </row>
    <row r="177" spans="1:36" ht="12.75">
      <c r="A177" s="6">
        <v>9.2200000000000006</v>
      </c>
      <c r="B177" s="33"/>
      <c r="C177" s="33" t="s">
        <v>39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LVT</v>
      </c>
    </row>
    <row r="178" spans="1:36" ht="12.75">
      <c r="A178" s="6">
        <v>9.23</v>
      </c>
      <c r="B178" s="33"/>
      <c r="C178" s="33" t="s">
        <v>39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LVT</v>
      </c>
    </row>
    <row r="179" spans="1:36" ht="12.75">
      <c r="A179" s="6">
        <v>9.24</v>
      </c>
      <c r="B179" s="33"/>
      <c r="C179" s="33" t="s">
        <v>1191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LVT</v>
      </c>
    </row>
    <row r="180" spans="1:36" ht="12.75">
      <c r="A180" s="6">
        <v>9.25</v>
      </c>
      <c r="B180" s="33"/>
      <c r="C180" s="33" t="s">
        <v>1191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LVT</v>
      </c>
    </row>
    <row r="181" spans="1:36" ht="12.75">
      <c r="A181" s="6">
        <v>9.26</v>
      </c>
      <c r="B181" s="33"/>
      <c r="C181" s="33" t="s">
        <v>1191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LVT</v>
      </c>
    </row>
    <row r="182" spans="1:36" ht="12.75">
      <c r="A182" s="6">
        <v>9.27</v>
      </c>
      <c r="B182" s="33"/>
      <c r="C182" s="33" t="s">
        <v>1917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LVT</v>
      </c>
    </row>
    <row r="183" spans="1:36" ht="12.75">
      <c r="A183" s="6">
        <v>9.2799999999999994</v>
      </c>
      <c r="B183" s="33"/>
      <c r="C183" s="33" t="s">
        <v>1917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LVT</v>
      </c>
    </row>
    <row r="184" spans="1:36" ht="12.75">
      <c r="A184" s="6">
        <v>9.2899999999999991</v>
      </c>
      <c r="B184" s="33"/>
      <c r="C184" s="33" t="s">
        <v>1917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LVT</v>
      </c>
    </row>
    <row r="185" spans="1:36" ht="12.75">
      <c r="A185" s="6">
        <v>9.3000000000000007</v>
      </c>
      <c r="B185" s="33"/>
      <c r="C185" s="33" t="s">
        <v>1917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LVT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D194" s="29"/>
      <c r="K194" s="2"/>
      <c r="AJ194" s="2"/>
    </row>
    <row r="195" spans="3:36">
      <c r="C195" s="2"/>
      <c r="D195" s="29"/>
      <c r="K195" s="2"/>
      <c r="AJ195" s="2"/>
    </row>
    <row r="196" spans="3:36">
      <c r="C196" s="2"/>
      <c r="D196" s="29"/>
      <c r="K196" s="2"/>
      <c r="AJ196" s="2"/>
    </row>
    <row r="197" spans="3:36">
      <c r="C197" s="2"/>
      <c r="D197" s="29"/>
      <c r="K197" s="2"/>
      <c r="AJ197" s="2"/>
    </row>
    <row r="198" spans="3:36">
      <c r="C198" s="2"/>
      <c r="D198" s="29"/>
      <c r="K198" s="2"/>
      <c r="AJ198" s="2"/>
    </row>
    <row r="199" spans="3:36">
      <c r="C199" s="2"/>
      <c r="D199" s="29"/>
      <c r="K199" s="2"/>
      <c r="AJ199" s="2"/>
    </row>
    <row r="200" spans="3:36">
      <c r="C200" s="2"/>
      <c r="D200" s="29"/>
      <c r="K200" s="2"/>
      <c r="AJ200" s="2"/>
    </row>
    <row r="201" spans="3:36">
      <c r="C201" s="2"/>
      <c r="D201" s="29"/>
      <c r="K201" s="2"/>
      <c r="AJ201" s="2"/>
    </row>
    <row r="202" spans="3:36">
      <c r="C202" s="2"/>
      <c r="D202" s="29"/>
      <c r="K202" s="2"/>
      <c r="AJ202" s="2"/>
    </row>
    <row r="203" spans="3:36">
      <c r="C203" s="2"/>
      <c r="D203" s="29"/>
      <c r="K203" s="2"/>
      <c r="AJ203" s="2"/>
    </row>
    <row r="204" spans="3:36">
      <c r="C204" s="2"/>
      <c r="D204" s="29"/>
      <c r="AJ204" s="2"/>
    </row>
    <row r="205" spans="3:36">
      <c r="C205" s="2"/>
      <c r="D205" s="29"/>
      <c r="AJ205" s="2"/>
    </row>
    <row r="206" spans="3:36">
      <c r="C206" s="2"/>
      <c r="D206" s="29"/>
      <c r="AJ206" s="2"/>
    </row>
    <row r="207" spans="3:36">
      <c r="C207" s="2"/>
      <c r="D207" s="29"/>
      <c r="AJ207" s="2"/>
    </row>
    <row r="208" spans="3:36">
      <c r="C208" s="2"/>
      <c r="D208" s="29"/>
      <c r="AJ208" s="2"/>
    </row>
    <row r="209" spans="3:36">
      <c r="C209" s="2"/>
      <c r="D209" s="29"/>
      <c r="AJ209" s="2"/>
    </row>
    <row r="210" spans="3:36">
      <c r="C210" s="2"/>
      <c r="D210" s="29"/>
      <c r="AJ210" s="2"/>
    </row>
    <row r="211" spans="3:36">
      <c r="C211" s="2"/>
      <c r="D211" s="29"/>
      <c r="AJ211" s="2"/>
    </row>
    <row r="212" spans="3:36">
      <c r="C212" s="2"/>
      <c r="D212" s="29"/>
      <c r="AJ212" s="2"/>
    </row>
    <row r="213" spans="3:36">
      <c r="C213" s="2"/>
      <c r="D213" s="29"/>
      <c r="AJ213" s="2"/>
    </row>
    <row r="214" spans="3:36">
      <c r="C214" s="2"/>
      <c r="D214" s="29"/>
      <c r="AJ214" s="2"/>
    </row>
    <row r="215" spans="3:36">
      <c r="C215" s="2"/>
      <c r="D215" s="29"/>
      <c r="AJ215" s="2"/>
    </row>
    <row r="216" spans="3:36">
      <c r="C216" s="2"/>
      <c r="D216" s="29"/>
      <c r="AJ216" s="2"/>
    </row>
    <row r="217" spans="3:36">
      <c r="C217" s="2"/>
      <c r="D217" s="29"/>
      <c r="AJ217" s="2"/>
    </row>
    <row r="218" spans="3:36">
      <c r="D218" s="29"/>
    </row>
    <row r="219" spans="3:36">
      <c r="D219" s="29"/>
    </row>
    <row r="220" spans="3:36">
      <c r="D220" s="29"/>
    </row>
    <row r="221" spans="3:36">
      <c r="D221" s="29"/>
    </row>
    <row r="222" spans="3:36">
      <c r="D222" s="29"/>
    </row>
    <row r="223" spans="3:36">
      <c r="D223" s="29"/>
    </row>
    <row r="224" spans="3:36">
      <c r="D224" s="29"/>
    </row>
    <row r="225" spans="4:4">
      <c r="D225" s="29"/>
    </row>
    <row r="226" spans="4:4">
      <c r="D226" s="29"/>
    </row>
    <row r="227" spans="4:4">
      <c r="D227" s="29"/>
    </row>
    <row r="228" spans="4:4">
      <c r="D228" s="29"/>
    </row>
    <row r="229" spans="4:4">
      <c r="D229" s="29"/>
    </row>
    <row r="230" spans="4:4">
      <c r="D230" s="29"/>
    </row>
    <row r="231" spans="4:4">
      <c r="D231" s="29"/>
    </row>
    <row r="232" spans="4:4">
      <c r="D232" s="29"/>
    </row>
  </sheetData>
  <phoneticPr fontId="5" type="noConversion"/>
  <conditionalFormatting sqref="AK3:AK22">
    <cfRule type="cellIs" dxfId="5590" priority="765" stopIfTrue="1" operator="equal">
      <formula>"must average at least 5 innings per start"</formula>
    </cfRule>
  </conditionalFormatting>
  <conditionalFormatting sqref="AK23">
    <cfRule type="cellIs" dxfId="5589" priority="766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88" priority="767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5587" priority="768" stopIfTrue="1" operator="equal">
      <formula>"input a different starter in column C"</formula>
    </cfRule>
  </conditionalFormatting>
  <conditionalFormatting sqref="AH3:AH22">
    <cfRule type="cellIs" dxfId="5586" priority="405" stopIfTrue="1" operator="equal">
      <formula>"must average at least 5 innings per start"</formula>
    </cfRule>
  </conditionalFormatting>
  <conditionalFormatting sqref="AH23">
    <cfRule type="cellIs" dxfId="5585" priority="404" stopIfTrue="1" operator="equal">
      <formula>"must have 162 starts"</formula>
    </cfRule>
  </conditionalFormatting>
  <conditionalFormatting sqref="AG3:AG22">
    <cfRule type="cellIs" dxfId="5584" priority="403" stopIfTrue="1" operator="equal">
      <formula>"must average at least 5 innings per start"</formula>
    </cfRule>
  </conditionalFormatting>
  <conditionalFormatting sqref="AG23">
    <cfRule type="cellIs" dxfId="5583" priority="402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82" priority="40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81" priority="40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80" priority="39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9" priority="39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8" priority="39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7" priority="39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6" priority="39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5" priority="39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4" priority="39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3" priority="39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2" priority="39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1" priority="39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70" priority="38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9" priority="38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8" priority="38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7" priority="38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6" priority="38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5" priority="38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4" priority="38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3" priority="38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2" priority="38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1" priority="38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60" priority="37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59" priority="37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58" priority="37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557" priority="376" stopIfTrue="1" operator="equal">
      <formula>"input starter in column C"</formula>
    </cfRule>
  </conditionalFormatting>
  <conditionalFormatting sqref="P3">
    <cfRule type="cellIs" dxfId="5556" priority="375" stopIfTrue="1" operator="equal">
      <formula>"input starter in column D"</formula>
    </cfRule>
  </conditionalFormatting>
  <conditionalFormatting sqref="P4">
    <cfRule type="cellIs" dxfId="5555" priority="374" stopIfTrue="1" operator="equal">
      <formula>"input starter in column D"</formula>
    </cfRule>
  </conditionalFormatting>
  <conditionalFormatting sqref="P5">
    <cfRule type="cellIs" dxfId="5554" priority="373" stopIfTrue="1" operator="equal">
      <formula>"INPUT STARTER IN COLUMN D"</formula>
    </cfRule>
  </conditionalFormatting>
  <conditionalFormatting sqref="P6">
    <cfRule type="cellIs" dxfId="5553" priority="372" stopIfTrue="1" operator="equal">
      <formula>"INPUT STARTER IN COLUMN D"</formula>
    </cfRule>
  </conditionalFormatting>
  <conditionalFormatting sqref="P8">
    <cfRule type="cellIs" dxfId="5552" priority="371" stopIfTrue="1" operator="equal">
      <formula>"INPUT STARTER IN COLUMN D"</formula>
    </cfRule>
  </conditionalFormatting>
  <conditionalFormatting sqref="P9">
    <cfRule type="cellIs" dxfId="5551" priority="370" stopIfTrue="1" operator="equal">
      <formula>"INPUT STARTER IN COLUMN D"</formula>
    </cfRule>
  </conditionalFormatting>
  <conditionalFormatting sqref="P10">
    <cfRule type="cellIs" dxfId="5550" priority="369" stopIfTrue="1" operator="equal">
      <formula>"INPUT STARTER IN COLUMN D"</formula>
    </cfRule>
  </conditionalFormatting>
  <conditionalFormatting sqref="P11">
    <cfRule type="cellIs" dxfId="5549" priority="368" stopIfTrue="1" operator="equal">
      <formula>"INPUT STARTER IN COLUMN D"</formula>
    </cfRule>
  </conditionalFormatting>
  <conditionalFormatting sqref="P13">
    <cfRule type="cellIs" dxfId="5548" priority="367" stopIfTrue="1" operator="equal">
      <formula>"INPUT STARTER IN COLUMN D"</formula>
    </cfRule>
  </conditionalFormatting>
  <conditionalFormatting sqref="P14">
    <cfRule type="cellIs" dxfId="5547" priority="366" stopIfTrue="1" operator="equal">
      <formula>"INPUT STARTER IN COLUMN D"</formula>
    </cfRule>
  </conditionalFormatting>
  <conditionalFormatting sqref="P15">
    <cfRule type="cellIs" dxfId="5546" priority="365" stopIfTrue="1" operator="equal">
      <formula>"INPUT STARTER IN COLUMN D"</formula>
    </cfRule>
  </conditionalFormatting>
  <conditionalFormatting sqref="P16">
    <cfRule type="cellIs" dxfId="5545" priority="364" stopIfTrue="1" operator="equal">
      <formula>"INPUT STARTER IN COLUMN D"</formula>
    </cfRule>
  </conditionalFormatting>
  <conditionalFormatting sqref="P18">
    <cfRule type="cellIs" dxfId="5544" priority="363" stopIfTrue="1" operator="equal">
      <formula>"INPUT STARTER IN COLUMN D"</formula>
    </cfRule>
  </conditionalFormatting>
  <conditionalFormatting sqref="P19">
    <cfRule type="cellIs" dxfId="5543" priority="362" stopIfTrue="1" operator="equal">
      <formula>"INPUT STARTER IN COLUMN D"</formula>
    </cfRule>
  </conditionalFormatting>
  <conditionalFormatting sqref="P20">
    <cfRule type="cellIs" dxfId="5542" priority="361" stopIfTrue="1" operator="equal">
      <formula>"INPUT STARTER IN COLUMN D"</formula>
    </cfRule>
  </conditionalFormatting>
  <conditionalFormatting sqref="P21">
    <cfRule type="cellIs" dxfId="5541" priority="360" stopIfTrue="1" operator="equal">
      <formula>"INPUT STARTER IN COLUMN D"</formula>
    </cfRule>
  </conditionalFormatting>
  <conditionalFormatting sqref="P23">
    <cfRule type="cellIs" dxfId="5540" priority="359" stopIfTrue="1" operator="equal">
      <formula>"INPUT STARTER IN COLUMN D"</formula>
    </cfRule>
  </conditionalFormatting>
  <conditionalFormatting sqref="P24">
    <cfRule type="cellIs" dxfId="5539" priority="358" stopIfTrue="1" operator="equal">
      <formula>"INPUT STARTER IN COLUMN D"</formula>
    </cfRule>
  </conditionalFormatting>
  <conditionalFormatting sqref="P25">
    <cfRule type="cellIs" dxfId="5538" priority="357" stopIfTrue="1" operator="equal">
      <formula>"INPUT STARTER IN COLUMN D"</formula>
    </cfRule>
  </conditionalFormatting>
  <conditionalFormatting sqref="P26">
    <cfRule type="cellIs" dxfId="5537" priority="356" stopIfTrue="1" operator="equal">
      <formula>"INPUT STARTER IN COLUMN D"</formula>
    </cfRule>
  </conditionalFormatting>
  <conditionalFormatting sqref="P28">
    <cfRule type="cellIs" dxfId="5536" priority="355" stopIfTrue="1" operator="equal">
      <formula>"INPUT STARTER IN COLUMN D"</formula>
    </cfRule>
  </conditionalFormatting>
  <conditionalFormatting sqref="P29">
    <cfRule type="cellIs" dxfId="5535" priority="354" stopIfTrue="1" operator="equal">
      <formula>"INPUT STARTER IN COLUMN D"</formula>
    </cfRule>
  </conditionalFormatting>
  <conditionalFormatting sqref="P30">
    <cfRule type="cellIs" dxfId="5534" priority="353" stopIfTrue="1" operator="equal">
      <formula>"INPUT STARTER IN COLUMN D"</formula>
    </cfRule>
  </conditionalFormatting>
  <conditionalFormatting sqref="P31">
    <cfRule type="cellIs" dxfId="5533" priority="352" stopIfTrue="1" operator="equal">
      <formula>"INPUT STARTER IN COLUMN D"</formula>
    </cfRule>
  </conditionalFormatting>
  <conditionalFormatting sqref="P33">
    <cfRule type="cellIs" dxfId="5532" priority="351" stopIfTrue="1" operator="equal">
      <formula>"INPUT STARTER IN COLUMN D"</formula>
    </cfRule>
  </conditionalFormatting>
  <conditionalFormatting sqref="P34">
    <cfRule type="cellIs" dxfId="5531" priority="350" stopIfTrue="1" operator="equal">
      <formula>"INPUT STARTER IN COLUMN D"</formula>
    </cfRule>
  </conditionalFormatting>
  <conditionalFormatting sqref="P35">
    <cfRule type="cellIs" dxfId="5530" priority="349" stopIfTrue="1" operator="equal">
      <formula>"INPUT STARTER IN COLUMN D"</formula>
    </cfRule>
  </conditionalFormatting>
  <conditionalFormatting sqref="P36">
    <cfRule type="cellIs" dxfId="5529" priority="348" stopIfTrue="1" operator="equal">
      <formula>"INPUT STARTER IN COLUMN D"</formula>
    </cfRule>
  </conditionalFormatting>
  <conditionalFormatting sqref="P37">
    <cfRule type="cellIs" dxfId="5528" priority="347" stopIfTrue="1" operator="equal">
      <formula>"INPUT STARTER IN COLUMN D"</formula>
    </cfRule>
  </conditionalFormatting>
  <conditionalFormatting sqref="P38">
    <cfRule type="cellIs" dxfId="5527" priority="346" stopIfTrue="1" operator="equal">
      <formula>"INPUT STARTER IN COLUMN D"</formula>
    </cfRule>
  </conditionalFormatting>
  <conditionalFormatting sqref="P39">
    <cfRule type="cellIs" dxfId="5526" priority="345" stopIfTrue="1" operator="equal">
      <formula>"INPUT STARTER IN COLUMN D"</formula>
    </cfRule>
  </conditionalFormatting>
  <conditionalFormatting sqref="P40">
    <cfRule type="cellIs" dxfId="5525" priority="344" stopIfTrue="1" operator="equal">
      <formula>"INPUT STARTER IN COLUMN D"</formula>
    </cfRule>
  </conditionalFormatting>
  <conditionalFormatting sqref="P42">
    <cfRule type="cellIs" dxfId="5524" priority="343" stopIfTrue="1" operator="equal">
      <formula>"INPUT STARTER IN COLUMN D"</formula>
    </cfRule>
  </conditionalFormatting>
  <conditionalFormatting sqref="P43">
    <cfRule type="cellIs" dxfId="5523" priority="342" stopIfTrue="1" operator="equal">
      <formula>"INPUT STARTER IN COLUMN D"</formula>
    </cfRule>
  </conditionalFormatting>
  <conditionalFormatting sqref="P44">
    <cfRule type="cellIs" dxfId="5522" priority="341" stopIfTrue="1" operator="equal">
      <formula>"INPUT STARTER IN COLUMN D"</formula>
    </cfRule>
  </conditionalFormatting>
  <conditionalFormatting sqref="P45">
    <cfRule type="cellIs" dxfId="5521" priority="340" stopIfTrue="1" operator="equal">
      <formula>"INPUT STARTER IN COLUMN D"</formula>
    </cfRule>
  </conditionalFormatting>
  <conditionalFormatting sqref="P46">
    <cfRule type="cellIs" dxfId="5520" priority="339" stopIfTrue="1" operator="equal">
      <formula>"INPUT STARTER IN COLUMN D"</formula>
    </cfRule>
  </conditionalFormatting>
  <conditionalFormatting sqref="P47">
    <cfRule type="cellIs" dxfId="5519" priority="338" stopIfTrue="1" operator="equal">
      <formula>"INPUT STARTER IN COLUMN D"</formula>
    </cfRule>
  </conditionalFormatting>
  <conditionalFormatting sqref="P49">
    <cfRule type="cellIs" dxfId="5518" priority="337" stopIfTrue="1" operator="equal">
      <formula>"INPUT STARTER IN COLUMN D"</formula>
    </cfRule>
  </conditionalFormatting>
  <conditionalFormatting sqref="P50">
    <cfRule type="cellIs" dxfId="5517" priority="336" stopIfTrue="1" operator="equal">
      <formula>"INPUT STARTER IN COLUMN D"</formula>
    </cfRule>
  </conditionalFormatting>
  <conditionalFormatting sqref="P51">
    <cfRule type="cellIs" dxfId="5516" priority="335" stopIfTrue="1" operator="equal">
      <formula>"INPUT STARTER IN COLUMN D"</formula>
    </cfRule>
  </conditionalFormatting>
  <conditionalFormatting sqref="P52">
    <cfRule type="cellIs" dxfId="5515" priority="334" stopIfTrue="1" operator="equal">
      <formula>"INPUT STARTER IN COLUMN D"</formula>
    </cfRule>
  </conditionalFormatting>
  <conditionalFormatting sqref="P53">
    <cfRule type="cellIs" dxfId="5514" priority="333" stopIfTrue="1" operator="equal">
      <formula>"INPUT STARTER IN COLUMN D"</formula>
    </cfRule>
  </conditionalFormatting>
  <conditionalFormatting sqref="P54">
    <cfRule type="cellIs" dxfId="5513" priority="332" stopIfTrue="1" operator="equal">
      <formula>"INPUT STARTER IN COLUMN D"</formula>
    </cfRule>
  </conditionalFormatting>
  <conditionalFormatting sqref="P56">
    <cfRule type="cellIs" dxfId="5512" priority="331" stopIfTrue="1" operator="equal">
      <formula>"INPUT STARTER IN COLUMN D"</formula>
    </cfRule>
  </conditionalFormatting>
  <conditionalFormatting sqref="P57">
    <cfRule type="cellIs" dxfId="5511" priority="330" stopIfTrue="1" operator="equal">
      <formula>"INPUT STARTER IN COLUMN D"</formula>
    </cfRule>
  </conditionalFormatting>
  <conditionalFormatting sqref="P58">
    <cfRule type="cellIs" dxfId="5510" priority="329" stopIfTrue="1" operator="equal">
      <formula>"INPUT STARTER IN COLUMN D"</formula>
    </cfRule>
  </conditionalFormatting>
  <conditionalFormatting sqref="P59">
    <cfRule type="cellIs" dxfId="5509" priority="328" stopIfTrue="1" operator="equal">
      <formula>"INPUT STARTER IN COLUMN D"</formula>
    </cfRule>
  </conditionalFormatting>
  <conditionalFormatting sqref="P60">
    <cfRule type="cellIs" dxfId="5508" priority="327" stopIfTrue="1" operator="equal">
      <formula>"INPUT STARTER IN COLUMN D"</formula>
    </cfRule>
  </conditionalFormatting>
  <conditionalFormatting sqref="P61">
    <cfRule type="cellIs" dxfId="5507" priority="326" stopIfTrue="1" operator="equal">
      <formula>"INPUT STARTER IN COLUMN D"</formula>
    </cfRule>
  </conditionalFormatting>
  <conditionalFormatting sqref="P63">
    <cfRule type="cellIs" dxfId="5506" priority="325" stopIfTrue="1" operator="equal">
      <formula>"INPUT STARTER IN COLUMN D"</formula>
    </cfRule>
  </conditionalFormatting>
  <conditionalFormatting sqref="P64">
    <cfRule type="cellIs" dxfId="5505" priority="324" stopIfTrue="1" operator="equal">
      <formula>"INPUT STARTER IN COLUMN D"</formula>
    </cfRule>
  </conditionalFormatting>
  <conditionalFormatting sqref="P65">
    <cfRule type="cellIs" dxfId="5504" priority="323" stopIfTrue="1" operator="equal">
      <formula>"INPUT STARTER IN COLUMN D"</formula>
    </cfRule>
  </conditionalFormatting>
  <conditionalFormatting sqref="P66">
    <cfRule type="cellIs" dxfId="5503" priority="322" stopIfTrue="1" operator="equal">
      <formula>"INPUT STARTER IN COLUMN D"</formula>
    </cfRule>
  </conditionalFormatting>
  <conditionalFormatting sqref="P67">
    <cfRule type="cellIs" dxfId="5502" priority="321" stopIfTrue="1" operator="equal">
      <formula>"INPUT STARTER IN COLUMN D"</formula>
    </cfRule>
  </conditionalFormatting>
  <conditionalFormatting sqref="P68">
    <cfRule type="cellIs" dxfId="5501" priority="320" stopIfTrue="1" operator="equal">
      <formula>"INPUT STARTER IN COLUMN D"</formula>
    </cfRule>
  </conditionalFormatting>
  <conditionalFormatting sqref="P69">
    <cfRule type="cellIs" dxfId="5500" priority="319" stopIfTrue="1" operator="equal">
      <formula>"INPUT STARTER IN COLUMN D"</formula>
    </cfRule>
  </conditionalFormatting>
  <conditionalFormatting sqref="P71">
    <cfRule type="cellIs" dxfId="5499" priority="318" stopIfTrue="1" operator="equal">
      <formula>"INPUT STARTER IN COLUMN D"</formula>
    </cfRule>
  </conditionalFormatting>
  <conditionalFormatting sqref="P72">
    <cfRule type="cellIs" dxfId="5498" priority="317" stopIfTrue="1" operator="equal">
      <formula>"INPUT STARTER IN COLUMN D"</formula>
    </cfRule>
  </conditionalFormatting>
  <conditionalFormatting sqref="P73">
    <cfRule type="cellIs" dxfId="5497" priority="316" stopIfTrue="1" operator="equal">
      <formula>"INPUT STARTER IN COLUMN D"</formula>
    </cfRule>
  </conditionalFormatting>
  <conditionalFormatting sqref="P74">
    <cfRule type="cellIs" dxfId="5496" priority="315" stopIfTrue="1" operator="equal">
      <formula>"INPUT STARTER IN COLUMN D"</formula>
    </cfRule>
  </conditionalFormatting>
  <conditionalFormatting sqref="P75">
    <cfRule type="cellIs" dxfId="5495" priority="314" stopIfTrue="1" operator="equal">
      <formula>"INPUT STARTER IN COLUMN D"</formula>
    </cfRule>
  </conditionalFormatting>
  <conditionalFormatting sqref="P76">
    <cfRule type="cellIs" dxfId="5494" priority="313" stopIfTrue="1" operator="equal">
      <formula>"INPUT STARTER IN COLUMN D"</formula>
    </cfRule>
  </conditionalFormatting>
  <conditionalFormatting sqref="P77">
    <cfRule type="cellIs" dxfId="5493" priority="312" stopIfTrue="1" operator="equal">
      <formula>"INPUT STARTER IN COLUMN D"</formula>
    </cfRule>
  </conditionalFormatting>
  <conditionalFormatting sqref="P78">
    <cfRule type="cellIs" dxfId="5492" priority="311" stopIfTrue="1" operator="equal">
      <formula>"INPUT STARTER IN COLUMN D"</formula>
    </cfRule>
  </conditionalFormatting>
  <conditionalFormatting sqref="P79">
    <cfRule type="cellIs" dxfId="5491" priority="310" stopIfTrue="1" operator="equal">
      <formula>"INPUT STARTER IN COLUMN D"</formula>
    </cfRule>
  </conditionalFormatting>
  <conditionalFormatting sqref="P80">
    <cfRule type="cellIs" dxfId="5490" priority="309" stopIfTrue="1" operator="equal">
      <formula>"INPUT STARTER IN COLUMN D"</formula>
    </cfRule>
  </conditionalFormatting>
  <conditionalFormatting sqref="P81">
    <cfRule type="cellIs" dxfId="5489" priority="308" stopIfTrue="1" operator="equal">
      <formula>"INPUT STARTER IN COLUMN D"</formula>
    </cfRule>
  </conditionalFormatting>
  <conditionalFormatting sqref="P82">
    <cfRule type="cellIs" dxfId="5488" priority="307" stopIfTrue="1" operator="equal">
      <formula>"INPUT STARTER IN COLUMN D"</formula>
    </cfRule>
  </conditionalFormatting>
  <conditionalFormatting sqref="P84">
    <cfRule type="cellIs" dxfId="5487" priority="306" stopIfTrue="1" operator="equal">
      <formula>"INPUT STARTER IN COLUMN D"</formula>
    </cfRule>
  </conditionalFormatting>
  <conditionalFormatting sqref="P85">
    <cfRule type="cellIs" dxfId="5486" priority="305" stopIfTrue="1" operator="equal">
      <formula>"INPUT STARTER IN COLUMN D"</formula>
    </cfRule>
  </conditionalFormatting>
  <conditionalFormatting sqref="P86">
    <cfRule type="cellIs" dxfId="5485" priority="304" stopIfTrue="1" operator="equal">
      <formula>"INPUT STARTER IN COLUMN D"</formula>
    </cfRule>
  </conditionalFormatting>
  <conditionalFormatting sqref="P87">
    <cfRule type="cellIs" dxfId="5484" priority="303" stopIfTrue="1" operator="equal">
      <formula>"INPUT STARTER IN COLUMN D"</formula>
    </cfRule>
  </conditionalFormatting>
  <conditionalFormatting sqref="P88">
    <cfRule type="cellIs" dxfId="5483" priority="302" stopIfTrue="1" operator="equal">
      <formula>"INPUT STARTER IN COLUMN D"</formula>
    </cfRule>
  </conditionalFormatting>
  <conditionalFormatting sqref="P89">
    <cfRule type="cellIs" dxfId="5482" priority="301" stopIfTrue="1" operator="equal">
      <formula>"INPUT STARTER IN COLUMN D"</formula>
    </cfRule>
  </conditionalFormatting>
  <conditionalFormatting sqref="P91">
    <cfRule type="cellIs" dxfId="5481" priority="300" stopIfTrue="1" operator="equal">
      <formula>"INPUT STARTER IN COLUMN D"</formula>
    </cfRule>
  </conditionalFormatting>
  <conditionalFormatting sqref="P92">
    <cfRule type="cellIs" dxfId="5480" priority="299" stopIfTrue="1" operator="equal">
      <formula>"INPUT STARTER IN COLUMN D"</formula>
    </cfRule>
  </conditionalFormatting>
  <conditionalFormatting sqref="P93">
    <cfRule type="cellIs" dxfId="5479" priority="298" stopIfTrue="1" operator="equal">
      <formula>"INPUT STARTER IN COLUMN D"</formula>
    </cfRule>
  </conditionalFormatting>
  <conditionalFormatting sqref="P94">
    <cfRule type="cellIs" dxfId="5478" priority="297" stopIfTrue="1" operator="equal">
      <formula>"INPUT STARTER IN COLUMN D"</formula>
    </cfRule>
  </conditionalFormatting>
  <conditionalFormatting sqref="P95">
    <cfRule type="cellIs" dxfId="5477" priority="296" stopIfTrue="1" operator="equal">
      <formula>"INPUT STARTER IN COLUMN D"</formula>
    </cfRule>
  </conditionalFormatting>
  <conditionalFormatting sqref="P96">
    <cfRule type="cellIs" dxfId="5476" priority="295" stopIfTrue="1" operator="equal">
      <formula>"INPUT STARTER IN COLUMN D"</formula>
    </cfRule>
  </conditionalFormatting>
  <conditionalFormatting sqref="P97">
    <cfRule type="cellIs" dxfId="5475" priority="294" stopIfTrue="1" operator="equal">
      <formula>"INPUT STARTER IN COLUMN D"</formula>
    </cfRule>
  </conditionalFormatting>
  <conditionalFormatting sqref="P98">
    <cfRule type="cellIs" dxfId="5474" priority="293" stopIfTrue="1" operator="equal">
      <formula>"INPUT STARTER IN COLUMN D"</formula>
    </cfRule>
  </conditionalFormatting>
  <conditionalFormatting sqref="P99">
    <cfRule type="cellIs" dxfId="5473" priority="292" stopIfTrue="1" operator="equal">
      <formula>"INPUT STARTER IN COLUMN D"</formula>
    </cfRule>
  </conditionalFormatting>
  <conditionalFormatting sqref="P100">
    <cfRule type="cellIs" dxfId="5472" priority="291" stopIfTrue="1" operator="equal">
      <formula>"INPUT STARTER IN COLUMN D"</formula>
    </cfRule>
  </conditionalFormatting>
  <conditionalFormatting sqref="P101">
    <cfRule type="cellIs" dxfId="5471" priority="290" stopIfTrue="1" operator="equal">
      <formula>"INPUT STARTER IN COLUMN D"</formula>
    </cfRule>
  </conditionalFormatting>
  <conditionalFormatting sqref="P102">
    <cfRule type="cellIs" dxfId="5470" priority="289" stopIfTrue="1" operator="equal">
      <formula>"INPUT STARTER IN COLUMN D"</formula>
    </cfRule>
  </conditionalFormatting>
  <conditionalFormatting sqref="P106">
    <cfRule type="cellIs" dxfId="5469" priority="288" stopIfTrue="1" operator="equal">
      <formula>"INPUT STARTER IN COLUMN D"</formula>
    </cfRule>
  </conditionalFormatting>
  <conditionalFormatting sqref="P107">
    <cfRule type="cellIs" dxfId="5468" priority="287" stopIfTrue="1" operator="equal">
      <formula>"INPUT STARTER IN COLUMN D"</formula>
    </cfRule>
  </conditionalFormatting>
  <conditionalFormatting sqref="P108">
    <cfRule type="cellIs" dxfId="5467" priority="286" stopIfTrue="1" operator="equal">
      <formula>"INPUT STARTER IN COLUMN D"</formula>
    </cfRule>
  </conditionalFormatting>
  <conditionalFormatting sqref="P109">
    <cfRule type="cellIs" dxfId="5466" priority="285" stopIfTrue="1" operator="equal">
      <formula>"INPUT STARTER IN COLUMN D"</formula>
    </cfRule>
  </conditionalFormatting>
  <conditionalFormatting sqref="P110">
    <cfRule type="cellIs" dxfId="5465" priority="284" stopIfTrue="1" operator="equal">
      <formula>"INPUT STARTER IN COLUMN D"</formula>
    </cfRule>
  </conditionalFormatting>
  <conditionalFormatting sqref="P111">
    <cfRule type="cellIs" dxfId="5464" priority="283" stopIfTrue="1" operator="equal">
      <formula>"INPUT STARTER IN COLUMN D"</formula>
    </cfRule>
  </conditionalFormatting>
  <conditionalFormatting sqref="P112">
    <cfRule type="cellIs" dxfId="5463" priority="282" stopIfTrue="1" operator="equal">
      <formula>"INPUT STARTER IN COLUMN D"</formula>
    </cfRule>
  </conditionalFormatting>
  <conditionalFormatting sqref="P113">
    <cfRule type="cellIs" dxfId="5462" priority="281" stopIfTrue="1" operator="equal">
      <formula>"INPUT STARTER IN COLUMN D"</formula>
    </cfRule>
  </conditionalFormatting>
  <conditionalFormatting sqref="P114">
    <cfRule type="cellIs" dxfId="5461" priority="280" stopIfTrue="1" operator="equal">
      <formula>"INPUT STARTER IN COLUMN D"</formula>
    </cfRule>
  </conditionalFormatting>
  <conditionalFormatting sqref="P115">
    <cfRule type="cellIs" dxfId="5460" priority="279" stopIfTrue="1" operator="equal">
      <formula>"INPUT STARTER IN COLUMN D"</formula>
    </cfRule>
  </conditionalFormatting>
  <conditionalFormatting sqref="P116">
    <cfRule type="cellIs" dxfId="5459" priority="278" stopIfTrue="1" operator="equal">
      <formula>"INPUT STARTER IN COLUMN D"</formula>
    </cfRule>
  </conditionalFormatting>
  <conditionalFormatting sqref="P117">
    <cfRule type="cellIs" dxfId="5458" priority="277" stopIfTrue="1" operator="equal">
      <formula>"INPUT STARTER IN COLUMN D"</formula>
    </cfRule>
  </conditionalFormatting>
  <conditionalFormatting sqref="P118">
    <cfRule type="cellIs" dxfId="5457" priority="276" stopIfTrue="1" operator="equal">
      <formula>"INPUT STARTER IN COLUMN D"</formula>
    </cfRule>
  </conditionalFormatting>
  <conditionalFormatting sqref="P119">
    <cfRule type="cellIs" dxfId="5456" priority="275" stopIfTrue="1" operator="equal">
      <formula>"INPUT STARTER IN COLUMN D"</formula>
    </cfRule>
  </conditionalFormatting>
  <conditionalFormatting sqref="P120">
    <cfRule type="cellIs" dxfId="5455" priority="274" stopIfTrue="1" operator="equal">
      <formula>"INPUT STARTER IN COLUMN D"</formula>
    </cfRule>
  </conditionalFormatting>
  <conditionalFormatting sqref="P121">
    <cfRule type="cellIs" dxfId="5454" priority="273" stopIfTrue="1" operator="equal">
      <formula>"INPUT STARTER IN COLUMN D"</formula>
    </cfRule>
  </conditionalFormatting>
  <conditionalFormatting sqref="P122">
    <cfRule type="cellIs" dxfId="5453" priority="272" stopIfTrue="1" operator="equal">
      <formula>"INPUT STARTER IN COLUMN D"</formula>
    </cfRule>
  </conditionalFormatting>
  <conditionalFormatting sqref="P123">
    <cfRule type="cellIs" dxfId="5452" priority="271" stopIfTrue="1" operator="equal">
      <formula>"INPUT STARTER IN COLUMN D"</formula>
    </cfRule>
  </conditionalFormatting>
  <conditionalFormatting sqref="P125">
    <cfRule type="cellIs" dxfId="5451" priority="270" stopIfTrue="1" operator="equal">
      <formula>"INPUT STARTER IN COLUMN D"</formula>
    </cfRule>
  </conditionalFormatting>
  <conditionalFormatting sqref="P126">
    <cfRule type="cellIs" dxfId="5450" priority="269" stopIfTrue="1" operator="equal">
      <formula>"INPUT STARTER IN COLUMN D"</formula>
    </cfRule>
  </conditionalFormatting>
  <conditionalFormatting sqref="P127">
    <cfRule type="cellIs" dxfId="5449" priority="268" stopIfTrue="1" operator="equal">
      <formula>"INPUT STARTER IN COLUMN D"</formula>
    </cfRule>
  </conditionalFormatting>
  <conditionalFormatting sqref="P128">
    <cfRule type="cellIs" dxfId="5448" priority="267" stopIfTrue="1" operator="equal">
      <formula>"INPUT STARTER IN COLUMN D"</formula>
    </cfRule>
  </conditionalFormatting>
  <conditionalFormatting sqref="P129">
    <cfRule type="cellIs" dxfId="5447" priority="266" stopIfTrue="1" operator="equal">
      <formula>"INPUT STARTER IN COLUMN D"</formula>
    </cfRule>
  </conditionalFormatting>
  <conditionalFormatting sqref="P130">
    <cfRule type="cellIs" dxfId="5446" priority="265" stopIfTrue="1" operator="equal">
      <formula>"INPUT STARTER IN COLUMN D"</formula>
    </cfRule>
  </conditionalFormatting>
  <conditionalFormatting sqref="P131">
    <cfRule type="cellIs" dxfId="5445" priority="264" stopIfTrue="1" operator="equal">
      <formula>"INPUT STARTER IN COLUMN D"</formula>
    </cfRule>
  </conditionalFormatting>
  <conditionalFormatting sqref="P132">
    <cfRule type="cellIs" dxfId="5444" priority="263" stopIfTrue="1" operator="equal">
      <formula>"INPUT STARTER IN COLUMN D"</formula>
    </cfRule>
  </conditionalFormatting>
  <conditionalFormatting sqref="P133">
    <cfRule type="cellIs" dxfId="5443" priority="262" stopIfTrue="1" operator="equal">
      <formula>"INPUT STARTER IN COLUMN D"</formula>
    </cfRule>
  </conditionalFormatting>
  <conditionalFormatting sqref="P134">
    <cfRule type="cellIs" dxfId="5442" priority="261" stopIfTrue="1" operator="equal">
      <formula>"INPUT STARTER IN COLUMN D"</formula>
    </cfRule>
  </conditionalFormatting>
  <conditionalFormatting sqref="P135">
    <cfRule type="cellIs" dxfId="5441" priority="260" stopIfTrue="1" operator="equal">
      <formula>"INPUT STARTER IN COLUMN D"</formula>
    </cfRule>
  </conditionalFormatting>
  <conditionalFormatting sqref="P136">
    <cfRule type="cellIs" dxfId="5440" priority="259" stopIfTrue="1" operator="equal">
      <formula>"INPUT STARTER IN COLUMN D"</formula>
    </cfRule>
  </conditionalFormatting>
  <conditionalFormatting sqref="P137">
    <cfRule type="cellIs" dxfId="5439" priority="258" stopIfTrue="1" operator="equal">
      <formula>"INPUT STARTER IN COLUMN D"</formula>
    </cfRule>
  </conditionalFormatting>
  <conditionalFormatting sqref="P139">
    <cfRule type="cellIs" dxfId="5438" priority="257" stopIfTrue="1" operator="equal">
      <formula>"INPUT STARTER IN COLUMN D"</formula>
    </cfRule>
  </conditionalFormatting>
  <conditionalFormatting sqref="P140">
    <cfRule type="cellIs" dxfId="5437" priority="256" stopIfTrue="1" operator="equal">
      <formula>"INPUT STARTER IN COLUMN D"</formula>
    </cfRule>
  </conditionalFormatting>
  <conditionalFormatting sqref="P141">
    <cfRule type="cellIs" dxfId="5436" priority="255" stopIfTrue="1" operator="equal">
      <formula>"INPUT STARTER IN COLUMN D"</formula>
    </cfRule>
  </conditionalFormatting>
  <conditionalFormatting sqref="P142">
    <cfRule type="cellIs" dxfId="5435" priority="254" stopIfTrue="1" operator="equal">
      <formula>"INPUT STARTER IN COLUMN D"</formula>
    </cfRule>
  </conditionalFormatting>
  <conditionalFormatting sqref="P143">
    <cfRule type="cellIs" dxfId="5434" priority="253" stopIfTrue="1" operator="equal">
      <formula>"INPUT STARTER IN COLUMN D"</formula>
    </cfRule>
  </conditionalFormatting>
  <conditionalFormatting sqref="P144">
    <cfRule type="cellIs" dxfId="5433" priority="252" stopIfTrue="1" operator="equal">
      <formula>"INPUT STARTER IN COLUMN D"</formula>
    </cfRule>
  </conditionalFormatting>
  <conditionalFormatting sqref="P145">
    <cfRule type="cellIs" dxfId="5432" priority="251" stopIfTrue="1" operator="equal">
      <formula>"INPUT STARTER IN COLUMN D"</formula>
    </cfRule>
  </conditionalFormatting>
  <conditionalFormatting sqref="P146">
    <cfRule type="cellIs" dxfId="5431" priority="250" stopIfTrue="1" operator="equal">
      <formula>"INPUT STARTER IN COLUMN D"</formula>
    </cfRule>
  </conditionalFormatting>
  <conditionalFormatting sqref="P147">
    <cfRule type="cellIs" dxfId="5430" priority="249" stopIfTrue="1" operator="equal">
      <formula>"INPUT STARTER IN COLUMN D"</formula>
    </cfRule>
  </conditionalFormatting>
  <conditionalFormatting sqref="P148">
    <cfRule type="cellIs" dxfId="5429" priority="248" stopIfTrue="1" operator="equal">
      <formula>"INPUT STARTER IN COLUMN D"</formula>
    </cfRule>
  </conditionalFormatting>
  <conditionalFormatting sqref="P149">
    <cfRule type="cellIs" dxfId="5428" priority="247" stopIfTrue="1" operator="equal">
      <formula>"INPUT STARTER IN COLUMN D"</formula>
    </cfRule>
  </conditionalFormatting>
  <conditionalFormatting sqref="P150">
    <cfRule type="cellIs" dxfId="5427" priority="246" stopIfTrue="1" operator="equal">
      <formula>"INPUT STARTER IN COLUMN D"</formula>
    </cfRule>
  </conditionalFormatting>
  <conditionalFormatting sqref="P151">
    <cfRule type="cellIs" dxfId="5426" priority="245" stopIfTrue="1" operator="equal">
      <formula>"INPUT STARTER IN COLUMN D"</formula>
    </cfRule>
  </conditionalFormatting>
  <conditionalFormatting sqref="P152">
    <cfRule type="cellIs" dxfId="5425" priority="244" stopIfTrue="1" operator="equal">
      <formula>"INPUT STARTER IN COLUMN D"</formula>
    </cfRule>
  </conditionalFormatting>
  <conditionalFormatting sqref="P153">
    <cfRule type="cellIs" dxfId="5424" priority="243" stopIfTrue="1" operator="equal">
      <formula>"INPUT STARTER IN COLUMN D"</formula>
    </cfRule>
  </conditionalFormatting>
  <conditionalFormatting sqref="P154">
    <cfRule type="cellIs" dxfId="5423" priority="242" stopIfTrue="1" operator="equal">
      <formula>"INPUT STARTER IN COLUMN D"</formula>
    </cfRule>
  </conditionalFormatting>
  <conditionalFormatting sqref="P155">
    <cfRule type="cellIs" dxfId="5422" priority="241" stopIfTrue="1" operator="equal">
      <formula>"INPUT STARTER IN COLUMN D"</formula>
    </cfRule>
  </conditionalFormatting>
  <conditionalFormatting sqref="P157">
    <cfRule type="cellIs" dxfId="5421" priority="240" stopIfTrue="1" operator="equal">
      <formula>"INPUT STARTER IN COLUMN D"</formula>
    </cfRule>
  </conditionalFormatting>
  <conditionalFormatting sqref="P158">
    <cfRule type="cellIs" dxfId="5420" priority="239" stopIfTrue="1" operator="equal">
      <formula>"INPUT STARTER IN COLUMN D"</formula>
    </cfRule>
  </conditionalFormatting>
  <conditionalFormatting sqref="P159">
    <cfRule type="cellIs" dxfId="5419" priority="238" stopIfTrue="1" operator="equal">
      <formula>"INPUT STARTER IN COLUMN D"</formula>
    </cfRule>
  </conditionalFormatting>
  <conditionalFormatting sqref="P160">
    <cfRule type="cellIs" dxfId="5418" priority="237" stopIfTrue="1" operator="equal">
      <formula>"INPUT STARTER IN COLUMN D"</formula>
    </cfRule>
  </conditionalFormatting>
  <conditionalFormatting sqref="P161">
    <cfRule type="cellIs" dxfId="5417" priority="236" stopIfTrue="1" operator="equal">
      <formula>"INPUT STARTER IN COLUMN D"</formula>
    </cfRule>
  </conditionalFormatting>
  <conditionalFormatting sqref="P162">
    <cfRule type="cellIs" dxfId="5416" priority="235" stopIfTrue="1" operator="equal">
      <formula>"INPUT STARTER IN COLUMN D"</formula>
    </cfRule>
  </conditionalFormatting>
  <conditionalFormatting sqref="P163">
    <cfRule type="cellIs" dxfId="5415" priority="234" stopIfTrue="1" operator="equal">
      <formula>"INPUT STARTER IN COLUMN D"</formula>
    </cfRule>
  </conditionalFormatting>
  <conditionalFormatting sqref="P165">
    <cfRule type="cellIs" dxfId="5414" priority="233" stopIfTrue="1" operator="equal">
      <formula>"INPUT STARTER IN COLUMN D"</formula>
    </cfRule>
  </conditionalFormatting>
  <conditionalFormatting sqref="P166">
    <cfRule type="cellIs" dxfId="5413" priority="232" stopIfTrue="1" operator="equal">
      <formula>"INPUT STARTER IN COLUMN D"</formula>
    </cfRule>
  </conditionalFormatting>
  <conditionalFormatting sqref="P167">
    <cfRule type="cellIs" dxfId="5412" priority="231" stopIfTrue="1" operator="equal">
      <formula>"INPUT STARTER IN COLUMN D"</formula>
    </cfRule>
  </conditionalFormatting>
  <conditionalFormatting sqref="P168">
    <cfRule type="cellIs" dxfId="5411" priority="230" stopIfTrue="1" operator="equal">
      <formula>"INPUT STARTER IN COLUMN D"</formula>
    </cfRule>
  </conditionalFormatting>
  <conditionalFormatting sqref="P169">
    <cfRule type="cellIs" dxfId="5410" priority="229" stopIfTrue="1" operator="equal">
      <formula>"INPUT STARTER IN COLUMN D"</formula>
    </cfRule>
  </conditionalFormatting>
  <conditionalFormatting sqref="P170">
    <cfRule type="cellIs" dxfId="5409" priority="228" stopIfTrue="1" operator="equal">
      <formula>"INPUT STARTER IN COLUMN D"</formula>
    </cfRule>
  </conditionalFormatting>
  <conditionalFormatting sqref="P171">
    <cfRule type="cellIs" dxfId="5408" priority="227" stopIfTrue="1" operator="equal">
      <formula>"INPUT STARTER IN COLUMN D"</formula>
    </cfRule>
  </conditionalFormatting>
  <conditionalFormatting sqref="P172">
    <cfRule type="cellIs" dxfId="5407" priority="226" stopIfTrue="1" operator="equal">
      <formula>"INPUT STARTER IN COLUMN D"</formula>
    </cfRule>
  </conditionalFormatting>
  <conditionalFormatting sqref="P173">
    <cfRule type="cellIs" dxfId="5406" priority="225" stopIfTrue="1" operator="equal">
      <formula>"INPUT STARTER IN COLUMN D"</formula>
    </cfRule>
  </conditionalFormatting>
  <conditionalFormatting sqref="P174">
    <cfRule type="cellIs" dxfId="5405" priority="224" stopIfTrue="1" operator="equal">
      <formula>"INPUT STARTER IN COLUMN D"</formula>
    </cfRule>
  </conditionalFormatting>
  <conditionalFormatting sqref="P176">
    <cfRule type="cellIs" dxfId="5404" priority="223" stopIfTrue="1" operator="equal">
      <formula>"INPUT STARTER IN COLUMN D"</formula>
    </cfRule>
  </conditionalFormatting>
  <conditionalFormatting sqref="P177">
    <cfRule type="cellIs" dxfId="5403" priority="222" stopIfTrue="1" operator="equal">
      <formula>"INPUT STARTER IN COLUMN D"</formula>
    </cfRule>
  </conditionalFormatting>
  <conditionalFormatting sqref="P178">
    <cfRule type="cellIs" dxfId="5402" priority="221" stopIfTrue="1" operator="equal">
      <formula>"INPUT STARTER IN COLUMN D"</formula>
    </cfRule>
  </conditionalFormatting>
  <conditionalFormatting sqref="P179">
    <cfRule type="cellIs" dxfId="5401" priority="220" stopIfTrue="1" operator="equal">
      <formula>"INPUT STARTER IN COLUMN D"</formula>
    </cfRule>
  </conditionalFormatting>
  <conditionalFormatting sqref="P180">
    <cfRule type="cellIs" dxfId="5400" priority="219" stopIfTrue="1" operator="equal">
      <formula>"INPUT STARTER IN COLUMN D"</formula>
    </cfRule>
  </conditionalFormatting>
  <conditionalFormatting sqref="P181">
    <cfRule type="cellIs" dxfId="5399" priority="218" stopIfTrue="1" operator="equal">
      <formula>"INPUT STARTER IN COLUMN D"</formula>
    </cfRule>
  </conditionalFormatting>
  <conditionalFormatting sqref="P182">
    <cfRule type="cellIs" dxfId="5398" priority="217" stopIfTrue="1" operator="equal">
      <formula>"INPUT STARTER IN COLUMN D"</formula>
    </cfRule>
  </conditionalFormatting>
  <conditionalFormatting sqref="P183">
    <cfRule type="cellIs" dxfId="5397" priority="216" stopIfTrue="1" operator="equal">
      <formula>"INPUT STARTER IN COLUMN D"</formula>
    </cfRule>
  </conditionalFormatting>
  <conditionalFormatting sqref="P184">
    <cfRule type="cellIs" dxfId="5396" priority="215" stopIfTrue="1" operator="equal">
      <formula>"INPUT STARTER IN COLUMN D"</formula>
    </cfRule>
  </conditionalFormatting>
  <conditionalFormatting sqref="P185">
    <cfRule type="cellIs" dxfId="5395" priority="214" stopIfTrue="1" operator="equal">
      <formula>"INPUT STARTER IN COLUMN D"</formula>
    </cfRule>
  </conditionalFormatting>
  <conditionalFormatting sqref="AK3:AK22">
    <cfRule type="cellIs" dxfId="5394" priority="213" stopIfTrue="1" operator="equal">
      <formula>"must average at least 5 innings per start"</formula>
    </cfRule>
  </conditionalFormatting>
  <conditionalFormatting sqref="AK23">
    <cfRule type="cellIs" dxfId="5393" priority="212" stopIfTrue="1" operator="equal">
      <formula>"must have 162 starts"</formula>
    </cfRule>
  </conditionalFormatting>
  <conditionalFormatting sqref="AH3:AH22">
    <cfRule type="cellIs" dxfId="5392" priority="211" stopIfTrue="1" operator="equal">
      <formula>"must average at least 5 innings per start"</formula>
    </cfRule>
  </conditionalFormatting>
  <conditionalFormatting sqref="AH23">
    <cfRule type="cellIs" dxfId="5391" priority="210" stopIfTrue="1" operator="equal">
      <formula>"must have 162 starts"</formula>
    </cfRule>
  </conditionalFormatting>
  <conditionalFormatting sqref="AG3:AG22">
    <cfRule type="cellIs" dxfId="5390" priority="209" stopIfTrue="1" operator="equal">
      <formula>"must average at least 5 innings per start"</formula>
    </cfRule>
  </conditionalFormatting>
  <conditionalFormatting sqref="AG23">
    <cfRule type="cellIs" dxfId="5389" priority="208" stopIfTrue="1" operator="equal">
      <formula>"must have 162 starts"</formula>
    </cfRule>
  </conditionalFormatting>
  <conditionalFormatting sqref="AK3:AK22">
    <cfRule type="cellIs" dxfId="5388" priority="207" stopIfTrue="1" operator="equal">
      <formula>"must average at least 5 innings per start"</formula>
    </cfRule>
  </conditionalFormatting>
  <conditionalFormatting sqref="AK23">
    <cfRule type="cellIs" dxfId="5387" priority="206" stopIfTrue="1" operator="equal">
      <formula>"must have 162 starts"</formula>
    </cfRule>
  </conditionalFormatting>
  <conditionalFormatting sqref="AH3:AH22">
    <cfRule type="cellIs" dxfId="5386" priority="205" stopIfTrue="1" operator="equal">
      <formula>"must average at least 5 innings per start"</formula>
    </cfRule>
  </conditionalFormatting>
  <conditionalFormatting sqref="AH23">
    <cfRule type="cellIs" dxfId="5385" priority="204" stopIfTrue="1" operator="equal">
      <formula>"must have 162 starts"</formula>
    </cfRule>
  </conditionalFormatting>
  <conditionalFormatting sqref="AG3:AG22">
    <cfRule type="cellIs" dxfId="5384" priority="203" stopIfTrue="1" operator="equal">
      <formula>"must average at least 5 innings per start"</formula>
    </cfRule>
  </conditionalFormatting>
  <conditionalFormatting sqref="AG23">
    <cfRule type="cellIs" dxfId="5383" priority="202" stopIfTrue="1" operator="equal">
      <formula>"must have 162 starts"</formula>
    </cfRule>
  </conditionalFormatting>
  <conditionalFormatting sqref="AK3:AK22">
    <cfRule type="cellIs" dxfId="5382" priority="201" stopIfTrue="1" operator="equal">
      <formula>"must average at least 5 innings per start"</formula>
    </cfRule>
  </conditionalFormatting>
  <conditionalFormatting sqref="AK23">
    <cfRule type="cellIs" dxfId="5381" priority="200" stopIfTrue="1" operator="equal">
      <formula>"must have 162 starts"</formula>
    </cfRule>
  </conditionalFormatting>
  <conditionalFormatting sqref="AH3:AH22">
    <cfRule type="cellIs" dxfId="5380" priority="199" stopIfTrue="1" operator="equal">
      <formula>"must average at least 5 innings per start"</formula>
    </cfRule>
  </conditionalFormatting>
  <conditionalFormatting sqref="AH23">
    <cfRule type="cellIs" dxfId="5379" priority="198" stopIfTrue="1" operator="equal">
      <formula>"must have 162 starts"</formula>
    </cfRule>
  </conditionalFormatting>
  <conditionalFormatting sqref="AG3:AG22">
    <cfRule type="cellIs" dxfId="5378" priority="197" stopIfTrue="1" operator="equal">
      <formula>"must average at least 5 innings per start"</formula>
    </cfRule>
  </conditionalFormatting>
  <conditionalFormatting sqref="AG23">
    <cfRule type="cellIs" dxfId="5377" priority="196" stopIfTrue="1" operator="equal">
      <formula>"must have 162 starts"</formula>
    </cfRule>
  </conditionalFormatting>
  <conditionalFormatting sqref="AK3:AK22">
    <cfRule type="cellIs" dxfId="5376" priority="195" stopIfTrue="1" operator="equal">
      <formula>"must average at least 5 innings per start"</formula>
    </cfRule>
  </conditionalFormatting>
  <conditionalFormatting sqref="AK23">
    <cfRule type="cellIs" dxfId="5375" priority="194" stopIfTrue="1" operator="equal">
      <formula>"must have 162 starts"</formula>
    </cfRule>
  </conditionalFormatting>
  <conditionalFormatting sqref="AH3:AH22">
    <cfRule type="cellIs" dxfId="5374" priority="193" stopIfTrue="1" operator="equal">
      <formula>"must average at least 5 innings per start"</formula>
    </cfRule>
  </conditionalFormatting>
  <conditionalFormatting sqref="AH23">
    <cfRule type="cellIs" dxfId="5373" priority="192" stopIfTrue="1" operator="equal">
      <formula>"must have 162 starts"</formula>
    </cfRule>
  </conditionalFormatting>
  <conditionalFormatting sqref="AG3:AG22">
    <cfRule type="cellIs" dxfId="5372" priority="191" stopIfTrue="1" operator="equal">
      <formula>"must average at least 5 innings per start"</formula>
    </cfRule>
  </conditionalFormatting>
  <conditionalFormatting sqref="AG23">
    <cfRule type="cellIs" dxfId="5371" priority="190" stopIfTrue="1" operator="equal">
      <formula>"must have 162 starts"</formula>
    </cfRule>
  </conditionalFormatting>
  <conditionalFormatting sqref="AK3:AK22">
    <cfRule type="cellIs" dxfId="5370" priority="189" stopIfTrue="1" operator="equal">
      <formula>"must average at least 5 innings per start"</formula>
    </cfRule>
  </conditionalFormatting>
  <conditionalFormatting sqref="AK23">
    <cfRule type="cellIs" dxfId="5369" priority="188" stopIfTrue="1" operator="equal">
      <formula>"must have 162 starts"</formula>
    </cfRule>
  </conditionalFormatting>
  <conditionalFormatting sqref="AH3:AH22">
    <cfRule type="cellIs" dxfId="5368" priority="187" stopIfTrue="1" operator="equal">
      <formula>"must average at least 5 innings per start"</formula>
    </cfRule>
  </conditionalFormatting>
  <conditionalFormatting sqref="AH23">
    <cfRule type="cellIs" dxfId="5367" priority="186" stopIfTrue="1" operator="equal">
      <formula>"must have 162 starts"</formula>
    </cfRule>
  </conditionalFormatting>
  <conditionalFormatting sqref="AG3:AG22">
    <cfRule type="cellIs" dxfId="5366" priority="185" stopIfTrue="1" operator="equal">
      <formula>"must average at least 5 innings per start"</formula>
    </cfRule>
  </conditionalFormatting>
  <conditionalFormatting sqref="AG23">
    <cfRule type="cellIs" dxfId="5365" priority="184" stopIfTrue="1" operator="equal">
      <formula>"must have 162 starts"</formula>
    </cfRule>
  </conditionalFormatting>
  <conditionalFormatting sqref="AK3:AK22">
    <cfRule type="cellIs" dxfId="5364" priority="183" stopIfTrue="1" operator="equal">
      <formula>"must average at least 5 innings per start"</formula>
    </cfRule>
  </conditionalFormatting>
  <conditionalFormatting sqref="AK23">
    <cfRule type="cellIs" dxfId="5363" priority="182" stopIfTrue="1" operator="equal">
      <formula>"must have 162 starts"</formula>
    </cfRule>
  </conditionalFormatting>
  <conditionalFormatting sqref="AH3:AH22">
    <cfRule type="cellIs" dxfId="5362" priority="181" stopIfTrue="1" operator="equal">
      <formula>"must average at least 5 innings per start"</formula>
    </cfRule>
  </conditionalFormatting>
  <conditionalFormatting sqref="AH23">
    <cfRule type="cellIs" dxfId="5361" priority="180" stopIfTrue="1" operator="equal">
      <formula>"must have 162 starts"</formula>
    </cfRule>
  </conditionalFormatting>
  <conditionalFormatting sqref="AG3:AG22">
    <cfRule type="cellIs" dxfId="5360" priority="179" stopIfTrue="1" operator="equal">
      <formula>"must average at least 5 innings per start"</formula>
    </cfRule>
  </conditionalFormatting>
  <conditionalFormatting sqref="AG23">
    <cfRule type="cellIs" dxfId="5359" priority="178" stopIfTrue="1" operator="equal">
      <formula>"must have 162 starts"</formula>
    </cfRule>
  </conditionalFormatting>
  <conditionalFormatting sqref="AK3:AK22">
    <cfRule type="cellIs" dxfId="5358" priority="177" stopIfTrue="1" operator="equal">
      <formula>"must average at least 5 innings per start"</formula>
    </cfRule>
  </conditionalFormatting>
  <conditionalFormatting sqref="AK23">
    <cfRule type="cellIs" dxfId="5357" priority="176" stopIfTrue="1" operator="equal">
      <formula>"must have 162 starts"</formula>
    </cfRule>
  </conditionalFormatting>
  <conditionalFormatting sqref="AH3:AH22">
    <cfRule type="cellIs" dxfId="5356" priority="175" stopIfTrue="1" operator="equal">
      <formula>"must average at least 5 innings per start"</formula>
    </cfRule>
  </conditionalFormatting>
  <conditionalFormatting sqref="AH23">
    <cfRule type="cellIs" dxfId="5355" priority="174" stopIfTrue="1" operator="equal">
      <formula>"must have 162 starts"</formula>
    </cfRule>
  </conditionalFormatting>
  <conditionalFormatting sqref="AG3:AG22">
    <cfRule type="cellIs" dxfId="5354" priority="173" stopIfTrue="1" operator="equal">
      <formula>"must average at least 5 innings per start"</formula>
    </cfRule>
  </conditionalFormatting>
  <conditionalFormatting sqref="AG23">
    <cfRule type="cellIs" dxfId="5353" priority="172" stopIfTrue="1" operator="equal">
      <formula>"must have 162 starts"</formula>
    </cfRule>
  </conditionalFormatting>
  <conditionalFormatting sqref="AK3:AK22">
    <cfRule type="cellIs" dxfId="5352" priority="171" stopIfTrue="1" operator="equal">
      <formula>"must average at least 5 innings per start"</formula>
    </cfRule>
  </conditionalFormatting>
  <conditionalFormatting sqref="AK23">
    <cfRule type="cellIs" dxfId="5351" priority="170" stopIfTrue="1" operator="equal">
      <formula>"must have 162 starts"</formula>
    </cfRule>
  </conditionalFormatting>
  <conditionalFormatting sqref="AH3:AH22">
    <cfRule type="cellIs" dxfId="5350" priority="169" stopIfTrue="1" operator="equal">
      <formula>"must average at least 5 innings per start"</formula>
    </cfRule>
  </conditionalFormatting>
  <conditionalFormatting sqref="AH23">
    <cfRule type="cellIs" dxfId="5349" priority="168" stopIfTrue="1" operator="equal">
      <formula>"must have 162 starts"</formula>
    </cfRule>
  </conditionalFormatting>
  <conditionalFormatting sqref="AG3:AG22">
    <cfRule type="cellIs" dxfId="5348" priority="167" stopIfTrue="1" operator="equal">
      <formula>"must average at least 5 innings per start"</formula>
    </cfRule>
  </conditionalFormatting>
  <conditionalFormatting sqref="AG23">
    <cfRule type="cellIs" dxfId="5347" priority="166" stopIfTrue="1" operator="equal">
      <formula>"must have 162 starts"</formula>
    </cfRule>
  </conditionalFormatting>
  <conditionalFormatting sqref="AK3:AK22">
    <cfRule type="cellIs" dxfId="5346" priority="165" stopIfTrue="1" operator="equal">
      <formula>"must average at least 5 innings per start"</formula>
    </cfRule>
  </conditionalFormatting>
  <conditionalFormatting sqref="AK23">
    <cfRule type="cellIs" dxfId="5345" priority="164" stopIfTrue="1" operator="equal">
      <formula>"must have 162 starts"</formula>
    </cfRule>
  </conditionalFormatting>
  <conditionalFormatting sqref="AH3:AH22">
    <cfRule type="cellIs" dxfId="5344" priority="163" stopIfTrue="1" operator="equal">
      <formula>"must average at least 5 innings per start"</formula>
    </cfRule>
  </conditionalFormatting>
  <conditionalFormatting sqref="AH23">
    <cfRule type="cellIs" dxfId="5343" priority="162" stopIfTrue="1" operator="equal">
      <formula>"must have 162 starts"</formula>
    </cfRule>
  </conditionalFormatting>
  <conditionalFormatting sqref="AG3:AG22">
    <cfRule type="cellIs" dxfId="5342" priority="161" stopIfTrue="1" operator="equal">
      <formula>"must average at least 5 innings per start"</formula>
    </cfRule>
  </conditionalFormatting>
  <conditionalFormatting sqref="AG23">
    <cfRule type="cellIs" dxfId="5341" priority="160" stopIfTrue="1" operator="equal">
      <formula>"must have 162 starts"</formula>
    </cfRule>
  </conditionalFormatting>
  <conditionalFormatting sqref="AK3:AK22">
    <cfRule type="cellIs" dxfId="5340" priority="159" stopIfTrue="1" operator="equal">
      <formula>"must average at least 5 innings per start"</formula>
    </cfRule>
  </conditionalFormatting>
  <conditionalFormatting sqref="AK23">
    <cfRule type="cellIs" dxfId="5339" priority="158" stopIfTrue="1" operator="equal">
      <formula>"must have 162 starts"</formula>
    </cfRule>
  </conditionalFormatting>
  <conditionalFormatting sqref="AH3:AH22">
    <cfRule type="cellIs" dxfId="5338" priority="157" stopIfTrue="1" operator="equal">
      <formula>"must average at least 5 innings per start"</formula>
    </cfRule>
  </conditionalFormatting>
  <conditionalFormatting sqref="AH23">
    <cfRule type="cellIs" dxfId="5337" priority="156" stopIfTrue="1" operator="equal">
      <formula>"must have 162 starts"</formula>
    </cfRule>
  </conditionalFormatting>
  <conditionalFormatting sqref="AG3:AG22">
    <cfRule type="cellIs" dxfId="5336" priority="155" stopIfTrue="1" operator="equal">
      <formula>"must average at least 5 innings per start"</formula>
    </cfRule>
  </conditionalFormatting>
  <conditionalFormatting sqref="AG23">
    <cfRule type="cellIs" dxfId="5335" priority="154" stopIfTrue="1" operator="equal">
      <formula>"must have 162 starts"</formula>
    </cfRule>
  </conditionalFormatting>
  <conditionalFormatting sqref="AK3:AK22">
    <cfRule type="cellIs" dxfId="5334" priority="153" stopIfTrue="1" operator="equal">
      <formula>"must average at least 5 innings per start"</formula>
    </cfRule>
  </conditionalFormatting>
  <conditionalFormatting sqref="AK23">
    <cfRule type="cellIs" dxfId="5333" priority="152" stopIfTrue="1" operator="equal">
      <formula>"must have 162 starts"</formula>
    </cfRule>
  </conditionalFormatting>
  <conditionalFormatting sqref="AH3:AH22">
    <cfRule type="cellIs" dxfId="5332" priority="151" stopIfTrue="1" operator="equal">
      <formula>"must average at least 5 innings per start"</formula>
    </cfRule>
  </conditionalFormatting>
  <conditionalFormatting sqref="AH23">
    <cfRule type="cellIs" dxfId="5331" priority="150" stopIfTrue="1" operator="equal">
      <formula>"must have 162 starts"</formula>
    </cfRule>
  </conditionalFormatting>
  <conditionalFormatting sqref="AG3:AG22">
    <cfRule type="cellIs" dxfId="5330" priority="149" stopIfTrue="1" operator="equal">
      <formula>"must average at least 5 innings per start"</formula>
    </cfRule>
  </conditionalFormatting>
  <conditionalFormatting sqref="AG23">
    <cfRule type="cellIs" dxfId="5329" priority="148" stopIfTrue="1" operator="equal">
      <formula>"must have 162 starts"</formula>
    </cfRule>
  </conditionalFormatting>
  <conditionalFormatting sqref="AK3:AK22">
    <cfRule type="cellIs" dxfId="5328" priority="147" stopIfTrue="1" operator="equal">
      <formula>"must average at least 5 innings per start"</formula>
    </cfRule>
  </conditionalFormatting>
  <conditionalFormatting sqref="AK23">
    <cfRule type="cellIs" dxfId="5327" priority="146" stopIfTrue="1" operator="equal">
      <formula>"must have 162 starts"</formula>
    </cfRule>
  </conditionalFormatting>
  <conditionalFormatting sqref="AH3:AH22">
    <cfRule type="cellIs" dxfId="5326" priority="145" stopIfTrue="1" operator="equal">
      <formula>"must average at least 5 innings per start"</formula>
    </cfRule>
  </conditionalFormatting>
  <conditionalFormatting sqref="AH23">
    <cfRule type="cellIs" dxfId="5325" priority="144" stopIfTrue="1" operator="equal">
      <formula>"must have 162 starts"</formula>
    </cfRule>
  </conditionalFormatting>
  <conditionalFormatting sqref="AG3:AG22">
    <cfRule type="cellIs" dxfId="5324" priority="143" stopIfTrue="1" operator="equal">
      <formula>"must average at least 5 innings per start"</formula>
    </cfRule>
  </conditionalFormatting>
  <conditionalFormatting sqref="AG23">
    <cfRule type="cellIs" dxfId="5323" priority="142" stopIfTrue="1" operator="equal">
      <formula>"must have 162 starts"</formula>
    </cfRule>
  </conditionalFormatting>
  <conditionalFormatting sqref="AK3:AK22">
    <cfRule type="cellIs" dxfId="5322" priority="141" stopIfTrue="1" operator="equal">
      <formula>"must average at least 5 innings per start"</formula>
    </cfRule>
  </conditionalFormatting>
  <conditionalFormatting sqref="AK23">
    <cfRule type="cellIs" dxfId="5321" priority="140" stopIfTrue="1" operator="equal">
      <formula>"must have 162 starts"</formula>
    </cfRule>
  </conditionalFormatting>
  <conditionalFormatting sqref="AH3:AH22">
    <cfRule type="cellIs" dxfId="5320" priority="139" stopIfTrue="1" operator="equal">
      <formula>"must average at least 5 innings per start"</formula>
    </cfRule>
  </conditionalFormatting>
  <conditionalFormatting sqref="AH23">
    <cfRule type="cellIs" dxfId="5319" priority="138" stopIfTrue="1" operator="equal">
      <formula>"must have 162 starts"</formula>
    </cfRule>
  </conditionalFormatting>
  <conditionalFormatting sqref="AG3:AG22">
    <cfRule type="cellIs" dxfId="5318" priority="137" stopIfTrue="1" operator="equal">
      <formula>"must average at least 5 innings per start"</formula>
    </cfRule>
  </conditionalFormatting>
  <conditionalFormatting sqref="AG23">
    <cfRule type="cellIs" dxfId="5317" priority="136" stopIfTrue="1" operator="equal">
      <formula>"must have 162 starts"</formula>
    </cfRule>
  </conditionalFormatting>
  <conditionalFormatting sqref="AK3:AK22">
    <cfRule type="cellIs" dxfId="5316" priority="135" stopIfTrue="1" operator="equal">
      <formula>"must average at least 5 innings per start"</formula>
    </cfRule>
  </conditionalFormatting>
  <conditionalFormatting sqref="AK23">
    <cfRule type="cellIs" dxfId="5315" priority="134" stopIfTrue="1" operator="equal">
      <formula>"must have 162 starts"</formula>
    </cfRule>
  </conditionalFormatting>
  <conditionalFormatting sqref="AH3:AH22">
    <cfRule type="cellIs" dxfId="5314" priority="133" stopIfTrue="1" operator="equal">
      <formula>"must average at least 5 innings per start"</formula>
    </cfRule>
  </conditionalFormatting>
  <conditionalFormatting sqref="AH23">
    <cfRule type="cellIs" dxfId="5313" priority="132" stopIfTrue="1" operator="equal">
      <formula>"must have 162 starts"</formula>
    </cfRule>
  </conditionalFormatting>
  <conditionalFormatting sqref="AG3:AG22">
    <cfRule type="cellIs" dxfId="5312" priority="131" stopIfTrue="1" operator="equal">
      <formula>"must average at least 5 innings per start"</formula>
    </cfRule>
  </conditionalFormatting>
  <conditionalFormatting sqref="AG23">
    <cfRule type="cellIs" dxfId="5311" priority="130" stopIfTrue="1" operator="equal">
      <formula>"must have 162 starts"</formula>
    </cfRule>
  </conditionalFormatting>
  <conditionalFormatting sqref="AK3:AK22">
    <cfRule type="cellIs" dxfId="5310" priority="129" stopIfTrue="1" operator="equal">
      <formula>"must average at least 5 innings per start"</formula>
    </cfRule>
  </conditionalFormatting>
  <conditionalFormatting sqref="AK23">
    <cfRule type="cellIs" dxfId="5309" priority="128" stopIfTrue="1" operator="equal">
      <formula>"must have 162 starts"</formula>
    </cfRule>
  </conditionalFormatting>
  <conditionalFormatting sqref="AH3:AH22">
    <cfRule type="cellIs" dxfId="5308" priority="127" stopIfTrue="1" operator="equal">
      <formula>"must average at least 5 innings per start"</formula>
    </cfRule>
  </conditionalFormatting>
  <conditionalFormatting sqref="AH23">
    <cfRule type="cellIs" dxfId="5307" priority="126" stopIfTrue="1" operator="equal">
      <formula>"must have 162 starts"</formula>
    </cfRule>
  </conditionalFormatting>
  <conditionalFormatting sqref="AG3:AG22">
    <cfRule type="cellIs" dxfId="5306" priority="125" stopIfTrue="1" operator="equal">
      <formula>"must average at least 5 innings per start"</formula>
    </cfRule>
  </conditionalFormatting>
  <conditionalFormatting sqref="AG23">
    <cfRule type="cellIs" dxfId="5305" priority="124" stopIfTrue="1" operator="equal">
      <formula>"must have 162 starts"</formula>
    </cfRule>
  </conditionalFormatting>
  <conditionalFormatting sqref="AK3:AK22">
    <cfRule type="cellIs" dxfId="5304" priority="123" stopIfTrue="1" operator="equal">
      <formula>"must average at least 5 innings per start"</formula>
    </cfRule>
  </conditionalFormatting>
  <conditionalFormatting sqref="AK23">
    <cfRule type="cellIs" dxfId="5303" priority="122" stopIfTrue="1" operator="equal">
      <formula>"must have 162 starts"</formula>
    </cfRule>
  </conditionalFormatting>
  <conditionalFormatting sqref="AH3:AH22">
    <cfRule type="cellIs" dxfId="5302" priority="121" stopIfTrue="1" operator="equal">
      <formula>"must average at least 5 innings per start"</formula>
    </cfRule>
  </conditionalFormatting>
  <conditionalFormatting sqref="AH23">
    <cfRule type="cellIs" dxfId="5301" priority="120" stopIfTrue="1" operator="equal">
      <formula>"must have 162 starts"</formula>
    </cfRule>
  </conditionalFormatting>
  <conditionalFormatting sqref="AG3:AG22">
    <cfRule type="cellIs" dxfId="5300" priority="119" stopIfTrue="1" operator="equal">
      <formula>"must average at least 5 innings per start"</formula>
    </cfRule>
  </conditionalFormatting>
  <conditionalFormatting sqref="AG23">
    <cfRule type="cellIs" dxfId="5299" priority="118" stopIfTrue="1" operator="equal">
      <formula>"must have 162 starts"</formula>
    </cfRule>
  </conditionalFormatting>
  <conditionalFormatting sqref="AK3:AK22">
    <cfRule type="cellIs" dxfId="5298" priority="117" stopIfTrue="1" operator="equal">
      <formula>"must average at least 5 innings per start"</formula>
    </cfRule>
  </conditionalFormatting>
  <conditionalFormatting sqref="AK23">
    <cfRule type="cellIs" dxfId="5297" priority="116" stopIfTrue="1" operator="equal">
      <formula>"must have 162 starts"</formula>
    </cfRule>
  </conditionalFormatting>
  <conditionalFormatting sqref="AH3:AH22">
    <cfRule type="cellIs" dxfId="5296" priority="115" stopIfTrue="1" operator="equal">
      <formula>"must average at least 5 innings per start"</formula>
    </cfRule>
  </conditionalFormatting>
  <conditionalFormatting sqref="AH23">
    <cfRule type="cellIs" dxfId="5295" priority="114" stopIfTrue="1" operator="equal">
      <formula>"must have 162 starts"</formula>
    </cfRule>
  </conditionalFormatting>
  <conditionalFormatting sqref="AG3:AG22">
    <cfRule type="cellIs" dxfId="5294" priority="113" stopIfTrue="1" operator="equal">
      <formula>"must average at least 5 innings per start"</formula>
    </cfRule>
  </conditionalFormatting>
  <conditionalFormatting sqref="AG23">
    <cfRule type="cellIs" dxfId="5293" priority="112" stopIfTrue="1" operator="equal">
      <formula>"must have 162 starts"</formula>
    </cfRule>
  </conditionalFormatting>
  <conditionalFormatting sqref="AK3:AK22">
    <cfRule type="cellIs" dxfId="5292" priority="111" stopIfTrue="1" operator="equal">
      <formula>"must average at least 5 innings per start"</formula>
    </cfRule>
  </conditionalFormatting>
  <conditionalFormatting sqref="AK23">
    <cfRule type="cellIs" dxfId="5291" priority="110" stopIfTrue="1" operator="equal">
      <formula>"must have 162 starts"</formula>
    </cfRule>
  </conditionalFormatting>
  <conditionalFormatting sqref="AH3:AH22">
    <cfRule type="cellIs" dxfId="5290" priority="109" stopIfTrue="1" operator="equal">
      <formula>"must average at least 5 innings per start"</formula>
    </cfRule>
  </conditionalFormatting>
  <conditionalFormatting sqref="AH23">
    <cfRule type="cellIs" dxfId="5289" priority="108" stopIfTrue="1" operator="equal">
      <formula>"must have 162 starts"</formula>
    </cfRule>
  </conditionalFormatting>
  <conditionalFormatting sqref="AG3:AG22">
    <cfRule type="cellIs" dxfId="5288" priority="107" stopIfTrue="1" operator="equal">
      <formula>"must average at least 5 innings per start"</formula>
    </cfRule>
  </conditionalFormatting>
  <conditionalFormatting sqref="AG23">
    <cfRule type="cellIs" dxfId="5287" priority="106" stopIfTrue="1" operator="equal">
      <formula>"must have 162 starts"</formula>
    </cfRule>
  </conditionalFormatting>
  <conditionalFormatting sqref="AG3:AG22">
    <cfRule type="cellIs" dxfId="5286" priority="105" stopIfTrue="1" operator="equal">
      <formula>"must average at least 5 innings per start"</formula>
    </cfRule>
  </conditionalFormatting>
  <conditionalFormatting sqref="AG23">
    <cfRule type="cellIs" dxfId="5285" priority="104" stopIfTrue="1" operator="equal">
      <formula>"must have 162 starts"</formula>
    </cfRule>
  </conditionalFormatting>
  <conditionalFormatting sqref="AK3:AK22">
    <cfRule type="cellIs" dxfId="5284" priority="103" stopIfTrue="1" operator="equal">
      <formula>"must average at least 5 innings per start"</formula>
    </cfRule>
  </conditionalFormatting>
  <conditionalFormatting sqref="AK23">
    <cfRule type="cellIs" dxfId="5283" priority="102" stopIfTrue="1" operator="equal">
      <formula>"must have 162 starts"</formula>
    </cfRule>
  </conditionalFormatting>
  <conditionalFormatting sqref="AK3:AK22">
    <cfRule type="cellIs" dxfId="5282" priority="101" stopIfTrue="1" operator="equal">
      <formula>"must average at least 5 innings per start"</formula>
    </cfRule>
  </conditionalFormatting>
  <conditionalFormatting sqref="AK23">
    <cfRule type="cellIs" dxfId="5281" priority="100" stopIfTrue="1" operator="equal">
      <formula>"must have 162 starts"</formula>
    </cfRule>
  </conditionalFormatting>
  <conditionalFormatting sqref="AK3:AK22">
    <cfRule type="cellIs" dxfId="5280" priority="99" stopIfTrue="1" operator="equal">
      <formula>"must average at least 5 innings per start"</formula>
    </cfRule>
  </conditionalFormatting>
  <conditionalFormatting sqref="AK23">
    <cfRule type="cellIs" dxfId="5279" priority="98" stopIfTrue="1" operator="equal">
      <formula>"must have 162 starts"</formula>
    </cfRule>
  </conditionalFormatting>
  <conditionalFormatting sqref="AK3:AK22">
    <cfRule type="cellIs" dxfId="5278" priority="97" stopIfTrue="1" operator="equal">
      <formula>"must average at least 5 innings per start"</formula>
    </cfRule>
  </conditionalFormatting>
  <conditionalFormatting sqref="AK23">
    <cfRule type="cellIs" dxfId="5277" priority="96" stopIfTrue="1" operator="equal">
      <formula>"must have 162 starts"</formula>
    </cfRule>
  </conditionalFormatting>
  <conditionalFormatting sqref="AK3:AK22">
    <cfRule type="cellIs" dxfId="5276" priority="95" stopIfTrue="1" operator="equal">
      <formula>"must average at least 5 innings per start"</formula>
    </cfRule>
  </conditionalFormatting>
  <conditionalFormatting sqref="AK23">
    <cfRule type="cellIs" dxfId="5275" priority="94" stopIfTrue="1" operator="equal">
      <formula>"must have 162 starts"</formula>
    </cfRule>
  </conditionalFormatting>
  <conditionalFormatting sqref="AK3:AK22">
    <cfRule type="cellIs" dxfId="5274" priority="93" stopIfTrue="1" operator="equal">
      <formula>"must average at least 5 innings per start"</formula>
    </cfRule>
  </conditionalFormatting>
  <conditionalFormatting sqref="AK23">
    <cfRule type="cellIs" dxfId="5273" priority="92" stopIfTrue="1" operator="equal">
      <formula>"must have 162 starts"</formula>
    </cfRule>
  </conditionalFormatting>
  <conditionalFormatting sqref="AK3:AK22">
    <cfRule type="cellIs" dxfId="5272" priority="91" stopIfTrue="1" operator="equal">
      <formula>"must average at least 5 innings per start"</formula>
    </cfRule>
  </conditionalFormatting>
  <conditionalFormatting sqref="AK23">
    <cfRule type="cellIs" dxfId="5271" priority="90" stopIfTrue="1" operator="equal">
      <formula>"must have 162 starts"</formula>
    </cfRule>
  </conditionalFormatting>
  <conditionalFormatting sqref="AH3:AH22">
    <cfRule type="cellIs" dxfId="5270" priority="89" stopIfTrue="1" operator="equal">
      <formula>"must average at least 5 innings per start"</formula>
    </cfRule>
  </conditionalFormatting>
  <conditionalFormatting sqref="AH23">
    <cfRule type="cellIs" dxfId="5269" priority="88" stopIfTrue="1" operator="equal">
      <formula>"must have 162 starts"</formula>
    </cfRule>
  </conditionalFormatting>
  <conditionalFormatting sqref="AG3:AG22">
    <cfRule type="cellIs" dxfId="5268" priority="87" stopIfTrue="1" operator="equal">
      <formula>"must average at least 5 innings per start"</formula>
    </cfRule>
  </conditionalFormatting>
  <conditionalFormatting sqref="AG23">
    <cfRule type="cellIs" dxfId="5267" priority="86" stopIfTrue="1" operator="equal">
      <formula>"must have 162 starts"</formula>
    </cfRule>
  </conditionalFormatting>
  <conditionalFormatting sqref="AK3:AK22">
    <cfRule type="cellIs" dxfId="5266" priority="85" stopIfTrue="1" operator="equal">
      <formula>"must average at least 5 innings per start"</formula>
    </cfRule>
  </conditionalFormatting>
  <conditionalFormatting sqref="AK23">
    <cfRule type="cellIs" dxfId="5265" priority="84" stopIfTrue="1" operator="equal">
      <formula>"must have 162 starts"</formula>
    </cfRule>
  </conditionalFormatting>
  <conditionalFormatting sqref="AK3:AK22">
    <cfRule type="cellIs" dxfId="5264" priority="83" stopIfTrue="1" operator="equal">
      <formula>"must average at least 5 innings per start"</formula>
    </cfRule>
  </conditionalFormatting>
  <conditionalFormatting sqref="AK23">
    <cfRule type="cellIs" dxfId="5263" priority="82" stopIfTrue="1" operator="equal">
      <formula>"must have 162 starts"</formula>
    </cfRule>
  </conditionalFormatting>
  <conditionalFormatting sqref="AK3:AK22">
    <cfRule type="cellIs" dxfId="5262" priority="81" stopIfTrue="1" operator="equal">
      <formula>"must average at least 5 innings per start"</formula>
    </cfRule>
  </conditionalFormatting>
  <conditionalFormatting sqref="AK23">
    <cfRule type="cellIs" dxfId="5261" priority="80" stopIfTrue="1" operator="equal">
      <formula>"must have 162 starts"</formula>
    </cfRule>
  </conditionalFormatting>
  <conditionalFormatting sqref="AK3:AK22">
    <cfRule type="cellIs" dxfId="5260" priority="79" stopIfTrue="1" operator="equal">
      <formula>"must average at least 5 innings per start"</formula>
    </cfRule>
  </conditionalFormatting>
  <conditionalFormatting sqref="AK23">
    <cfRule type="cellIs" dxfId="5259" priority="78" stopIfTrue="1" operator="equal">
      <formula>"must have 162 starts"</formula>
    </cfRule>
  </conditionalFormatting>
  <conditionalFormatting sqref="AK3:AK22">
    <cfRule type="cellIs" dxfId="5258" priority="77" stopIfTrue="1" operator="equal">
      <formula>"must average at least 5 innings per start"</formula>
    </cfRule>
  </conditionalFormatting>
  <conditionalFormatting sqref="AK23">
    <cfRule type="cellIs" dxfId="5257" priority="76" stopIfTrue="1" operator="equal">
      <formula>"must have 162 starts"</formula>
    </cfRule>
  </conditionalFormatting>
  <conditionalFormatting sqref="AK3:AK22">
    <cfRule type="cellIs" dxfId="5256" priority="75" stopIfTrue="1" operator="equal">
      <formula>"must average at least 5 innings per start"</formula>
    </cfRule>
  </conditionalFormatting>
  <conditionalFormatting sqref="AK23">
    <cfRule type="cellIs" dxfId="5255" priority="74" stopIfTrue="1" operator="equal">
      <formula>"must have 162 starts"</formula>
    </cfRule>
  </conditionalFormatting>
  <conditionalFormatting sqref="AK3:AK22">
    <cfRule type="cellIs" dxfId="5254" priority="73" stopIfTrue="1" operator="equal">
      <formula>"must average at least 5 innings per start"</formula>
    </cfRule>
  </conditionalFormatting>
  <conditionalFormatting sqref="AK23">
    <cfRule type="cellIs" dxfId="5253" priority="72" stopIfTrue="1" operator="equal">
      <formula>"must have 162 starts"</formula>
    </cfRule>
  </conditionalFormatting>
  <conditionalFormatting sqref="AK3:AK22">
    <cfRule type="cellIs" dxfId="5252" priority="71" stopIfTrue="1" operator="equal">
      <formula>"must average at least 5 innings per start"</formula>
    </cfRule>
  </conditionalFormatting>
  <conditionalFormatting sqref="AK23">
    <cfRule type="cellIs" dxfId="5251" priority="70" stopIfTrue="1" operator="equal">
      <formula>"must have 162 starts"</formula>
    </cfRule>
  </conditionalFormatting>
  <conditionalFormatting sqref="AG3:AG22">
    <cfRule type="cellIs" dxfId="5250" priority="69" stopIfTrue="1" operator="equal">
      <formula>"must average at least 5 innings per start"</formula>
    </cfRule>
  </conditionalFormatting>
  <conditionalFormatting sqref="AG23">
    <cfRule type="cellIs" dxfId="5249" priority="68" stopIfTrue="1" operator="equal">
      <formula>"must have 162 starts"</formula>
    </cfRule>
  </conditionalFormatting>
  <conditionalFormatting sqref="AK3:AK22">
    <cfRule type="cellIs" dxfId="5248" priority="67" stopIfTrue="1" operator="equal">
      <formula>"must average at least 5 innings per start"</formula>
    </cfRule>
  </conditionalFormatting>
  <conditionalFormatting sqref="AK23">
    <cfRule type="cellIs" dxfId="5247" priority="66" stopIfTrue="1" operator="equal">
      <formula>"must have 162 starts"</formula>
    </cfRule>
  </conditionalFormatting>
  <conditionalFormatting sqref="AK3:AK22">
    <cfRule type="cellIs" dxfId="5246" priority="65" stopIfTrue="1" operator="equal">
      <formula>"must average at least 5 innings per start"</formula>
    </cfRule>
  </conditionalFormatting>
  <conditionalFormatting sqref="AK23">
    <cfRule type="cellIs" dxfId="5245" priority="64" stopIfTrue="1" operator="equal">
      <formula>"must have 162 starts"</formula>
    </cfRule>
  </conditionalFormatting>
  <conditionalFormatting sqref="AK3:AK22">
    <cfRule type="cellIs" dxfId="5244" priority="63" stopIfTrue="1" operator="equal">
      <formula>"must average at least 5 innings per start"</formula>
    </cfRule>
  </conditionalFormatting>
  <conditionalFormatting sqref="AK23">
    <cfRule type="cellIs" dxfId="5243" priority="62" stopIfTrue="1" operator="equal">
      <formula>"must have 162 starts"</formula>
    </cfRule>
  </conditionalFormatting>
  <conditionalFormatting sqref="AK3:AK22">
    <cfRule type="cellIs" dxfId="5242" priority="61" stopIfTrue="1" operator="equal">
      <formula>"must average at least 5 innings per start"</formula>
    </cfRule>
  </conditionalFormatting>
  <conditionalFormatting sqref="AK23">
    <cfRule type="cellIs" dxfId="5241" priority="60" stopIfTrue="1" operator="equal">
      <formula>"must have 162 starts"</formula>
    </cfRule>
  </conditionalFormatting>
  <conditionalFormatting sqref="AK3:AK22">
    <cfRule type="cellIs" dxfId="5240" priority="59" stopIfTrue="1" operator="equal">
      <formula>"must average at least 5 innings per start"</formula>
    </cfRule>
  </conditionalFormatting>
  <conditionalFormatting sqref="AK23">
    <cfRule type="cellIs" dxfId="5239" priority="58" stopIfTrue="1" operator="equal">
      <formula>"must have 162 starts"</formula>
    </cfRule>
  </conditionalFormatting>
  <conditionalFormatting sqref="AK3:AK22">
    <cfRule type="cellIs" dxfId="5238" priority="57" stopIfTrue="1" operator="equal">
      <formula>"must average at least 5 innings per start"</formula>
    </cfRule>
  </conditionalFormatting>
  <conditionalFormatting sqref="AK23">
    <cfRule type="cellIs" dxfId="5237" priority="56" stopIfTrue="1" operator="equal">
      <formula>"must have 162 starts"</formula>
    </cfRule>
  </conditionalFormatting>
  <conditionalFormatting sqref="AK3:AK22">
    <cfRule type="cellIs" dxfId="5236" priority="55" stopIfTrue="1" operator="equal">
      <formula>"must average at least 5 innings per start"</formula>
    </cfRule>
  </conditionalFormatting>
  <conditionalFormatting sqref="AK23">
    <cfRule type="cellIs" dxfId="5235" priority="54" stopIfTrue="1" operator="equal">
      <formula>"must have 162 starts"</formula>
    </cfRule>
  </conditionalFormatting>
  <conditionalFormatting sqref="AG3:AG22">
    <cfRule type="cellIs" dxfId="5234" priority="53" stopIfTrue="1" operator="equal">
      <formula>"must average at least 5 innings per start"</formula>
    </cfRule>
  </conditionalFormatting>
  <conditionalFormatting sqref="AG23">
    <cfRule type="cellIs" dxfId="5233" priority="52" stopIfTrue="1" operator="equal">
      <formula>"must have 162 starts"</formula>
    </cfRule>
  </conditionalFormatting>
  <conditionalFormatting sqref="AK3:AK22">
    <cfRule type="cellIs" dxfId="5232" priority="51" stopIfTrue="1" operator="equal">
      <formula>"must average at least 5 innings per start"</formula>
    </cfRule>
  </conditionalFormatting>
  <conditionalFormatting sqref="AK23">
    <cfRule type="cellIs" dxfId="5231" priority="50" stopIfTrue="1" operator="equal">
      <formula>"must have 162 starts"</formula>
    </cfRule>
  </conditionalFormatting>
  <conditionalFormatting sqref="AK3:AK22">
    <cfRule type="cellIs" dxfId="5230" priority="49" stopIfTrue="1" operator="equal">
      <formula>"must average at least 5 innings per start"</formula>
    </cfRule>
  </conditionalFormatting>
  <conditionalFormatting sqref="AK23">
    <cfRule type="cellIs" dxfId="5229" priority="48" stopIfTrue="1" operator="equal">
      <formula>"must have 162 starts"</formula>
    </cfRule>
  </conditionalFormatting>
  <conditionalFormatting sqref="AK3:AK22">
    <cfRule type="cellIs" dxfId="5228" priority="47" stopIfTrue="1" operator="equal">
      <formula>"must average at least 5 innings per start"</formula>
    </cfRule>
  </conditionalFormatting>
  <conditionalFormatting sqref="AK23">
    <cfRule type="cellIs" dxfId="5227" priority="46" stopIfTrue="1" operator="equal">
      <formula>"must have 162 starts"</formula>
    </cfRule>
  </conditionalFormatting>
  <conditionalFormatting sqref="AK3:AK22">
    <cfRule type="cellIs" dxfId="5226" priority="45" stopIfTrue="1" operator="equal">
      <formula>"must average at least 5 innings per start"</formula>
    </cfRule>
  </conditionalFormatting>
  <conditionalFormatting sqref="AK23">
    <cfRule type="cellIs" dxfId="5225" priority="44" stopIfTrue="1" operator="equal">
      <formula>"must have 162 starts"</formula>
    </cfRule>
  </conditionalFormatting>
  <conditionalFormatting sqref="AK3:AK22">
    <cfRule type="cellIs" dxfId="5224" priority="43" stopIfTrue="1" operator="equal">
      <formula>"must average at least 5 innings per start"</formula>
    </cfRule>
  </conditionalFormatting>
  <conditionalFormatting sqref="AK23">
    <cfRule type="cellIs" dxfId="5223" priority="42" stopIfTrue="1" operator="equal">
      <formula>"must have 162 starts"</formula>
    </cfRule>
  </conditionalFormatting>
  <conditionalFormatting sqref="AK3:AK22">
    <cfRule type="cellIs" dxfId="5222" priority="41" stopIfTrue="1" operator="equal">
      <formula>"must average at least 5 innings per start"</formula>
    </cfRule>
  </conditionalFormatting>
  <conditionalFormatting sqref="AK23">
    <cfRule type="cellIs" dxfId="5221" priority="40" stopIfTrue="1" operator="equal">
      <formula>"must have 162 starts"</formula>
    </cfRule>
  </conditionalFormatting>
  <conditionalFormatting sqref="AG3:AG22">
    <cfRule type="cellIs" dxfId="5220" priority="39" stopIfTrue="1" operator="equal">
      <formula>"must average at least 5 innings per start"</formula>
    </cfRule>
  </conditionalFormatting>
  <conditionalFormatting sqref="AG23">
    <cfRule type="cellIs" dxfId="5219" priority="38" stopIfTrue="1" operator="equal">
      <formula>"must have 162 starts"</formula>
    </cfRule>
  </conditionalFormatting>
  <conditionalFormatting sqref="AK3:AK22">
    <cfRule type="cellIs" dxfId="5218" priority="37" stopIfTrue="1" operator="equal">
      <formula>"must average at least 5 innings per start"</formula>
    </cfRule>
  </conditionalFormatting>
  <conditionalFormatting sqref="AK23">
    <cfRule type="cellIs" dxfId="5217" priority="36" stopIfTrue="1" operator="equal">
      <formula>"must have 162 starts"</formula>
    </cfRule>
  </conditionalFormatting>
  <conditionalFormatting sqref="AK3:AK22">
    <cfRule type="cellIs" dxfId="5216" priority="35" stopIfTrue="1" operator="equal">
      <formula>"must average at least 5 innings per start"</formula>
    </cfRule>
  </conditionalFormatting>
  <conditionalFormatting sqref="AK23">
    <cfRule type="cellIs" dxfId="5215" priority="34" stopIfTrue="1" operator="equal">
      <formula>"must have 162 starts"</formula>
    </cfRule>
  </conditionalFormatting>
  <conditionalFormatting sqref="AK3:AK22">
    <cfRule type="cellIs" dxfId="5214" priority="33" stopIfTrue="1" operator="equal">
      <formula>"must average at least 5 innings per start"</formula>
    </cfRule>
  </conditionalFormatting>
  <conditionalFormatting sqref="AK23">
    <cfRule type="cellIs" dxfId="5213" priority="32" stopIfTrue="1" operator="equal">
      <formula>"must have 162 starts"</formula>
    </cfRule>
  </conditionalFormatting>
  <conditionalFormatting sqref="AK3:AK22">
    <cfRule type="cellIs" dxfId="5212" priority="31" stopIfTrue="1" operator="equal">
      <formula>"must average at least 5 innings per start"</formula>
    </cfRule>
  </conditionalFormatting>
  <conditionalFormatting sqref="AK23">
    <cfRule type="cellIs" dxfId="5211" priority="30" stopIfTrue="1" operator="equal">
      <formula>"must have 162 starts"</formula>
    </cfRule>
  </conditionalFormatting>
  <conditionalFormatting sqref="AK3:AK22">
    <cfRule type="cellIs" dxfId="5210" priority="29" stopIfTrue="1" operator="equal">
      <formula>"must average at least 5 innings per start"</formula>
    </cfRule>
  </conditionalFormatting>
  <conditionalFormatting sqref="AK23">
    <cfRule type="cellIs" dxfId="5209" priority="28" stopIfTrue="1" operator="equal">
      <formula>"must have 162 starts"</formula>
    </cfRule>
  </conditionalFormatting>
  <conditionalFormatting sqref="AG3:AG22">
    <cfRule type="cellIs" dxfId="5208" priority="27" stopIfTrue="1" operator="equal">
      <formula>"must average at least 5 innings per start"</formula>
    </cfRule>
  </conditionalFormatting>
  <conditionalFormatting sqref="AG23">
    <cfRule type="cellIs" dxfId="5207" priority="26" stopIfTrue="1" operator="equal">
      <formula>"must have 162 starts"</formula>
    </cfRule>
  </conditionalFormatting>
  <conditionalFormatting sqref="AK3:AK22">
    <cfRule type="cellIs" dxfId="5206" priority="25" stopIfTrue="1" operator="equal">
      <formula>"must average at least 5 innings per start"</formula>
    </cfRule>
  </conditionalFormatting>
  <conditionalFormatting sqref="AK23">
    <cfRule type="cellIs" dxfId="5205" priority="24" stopIfTrue="1" operator="equal">
      <formula>"must have 162 starts"</formula>
    </cfRule>
  </conditionalFormatting>
  <conditionalFormatting sqref="AK3:AK22">
    <cfRule type="cellIs" dxfId="5204" priority="23" stopIfTrue="1" operator="equal">
      <formula>"must average at least 5 innings per start"</formula>
    </cfRule>
  </conditionalFormatting>
  <conditionalFormatting sqref="AK23">
    <cfRule type="cellIs" dxfId="5203" priority="22" stopIfTrue="1" operator="equal">
      <formula>"must have 162 starts"</formula>
    </cfRule>
  </conditionalFormatting>
  <conditionalFormatting sqref="AK3:AK22">
    <cfRule type="cellIs" dxfId="5202" priority="21" stopIfTrue="1" operator="equal">
      <formula>"must average at least 5 innings per start"</formula>
    </cfRule>
  </conditionalFormatting>
  <conditionalFormatting sqref="AK23">
    <cfRule type="cellIs" dxfId="5201" priority="20" stopIfTrue="1" operator="equal">
      <formula>"must have 162 starts"</formula>
    </cfRule>
  </conditionalFormatting>
  <conditionalFormatting sqref="AK3:AK22">
    <cfRule type="cellIs" dxfId="5200" priority="19" stopIfTrue="1" operator="equal">
      <formula>"must average at least 5 innings per start"</formula>
    </cfRule>
  </conditionalFormatting>
  <conditionalFormatting sqref="AK23">
    <cfRule type="cellIs" dxfId="5199" priority="18" stopIfTrue="1" operator="equal">
      <formula>"must have 162 starts"</formula>
    </cfRule>
  </conditionalFormatting>
  <conditionalFormatting sqref="AG3:AG22">
    <cfRule type="cellIs" dxfId="5198" priority="17" stopIfTrue="1" operator="equal">
      <formula>"must average at least 5 innings per start"</formula>
    </cfRule>
  </conditionalFormatting>
  <conditionalFormatting sqref="AG23">
    <cfRule type="cellIs" dxfId="5197" priority="16" stopIfTrue="1" operator="equal">
      <formula>"must have 162 starts"</formula>
    </cfRule>
  </conditionalFormatting>
  <conditionalFormatting sqref="AK3:AK22">
    <cfRule type="cellIs" dxfId="5196" priority="15" stopIfTrue="1" operator="equal">
      <formula>"must average at least 5 innings per start"</formula>
    </cfRule>
  </conditionalFormatting>
  <conditionalFormatting sqref="AK23">
    <cfRule type="cellIs" dxfId="5195" priority="14" stopIfTrue="1" operator="equal">
      <formula>"must have 162 starts"</formula>
    </cfRule>
  </conditionalFormatting>
  <conditionalFormatting sqref="AK3:AK22">
    <cfRule type="cellIs" dxfId="5194" priority="13" stopIfTrue="1" operator="equal">
      <formula>"must average at least 5 innings per start"</formula>
    </cfRule>
  </conditionalFormatting>
  <conditionalFormatting sqref="AK23">
    <cfRule type="cellIs" dxfId="5193" priority="12" stopIfTrue="1" operator="equal">
      <formula>"must have 162 starts"</formula>
    </cfRule>
  </conditionalFormatting>
  <conditionalFormatting sqref="AK3:AK22">
    <cfRule type="cellIs" dxfId="5192" priority="11" stopIfTrue="1" operator="equal">
      <formula>"must average at least 5 innings per start"</formula>
    </cfRule>
  </conditionalFormatting>
  <conditionalFormatting sqref="AK23">
    <cfRule type="cellIs" dxfId="5191" priority="10" stopIfTrue="1" operator="equal">
      <formula>"must have 162 starts"</formula>
    </cfRule>
  </conditionalFormatting>
  <conditionalFormatting sqref="AG3:AG22">
    <cfRule type="cellIs" dxfId="5190" priority="9" stopIfTrue="1" operator="equal">
      <formula>"must average at least 5 innings per start"</formula>
    </cfRule>
  </conditionalFormatting>
  <conditionalFormatting sqref="AG23">
    <cfRule type="cellIs" dxfId="5189" priority="8" stopIfTrue="1" operator="equal">
      <formula>"must have 162 starts"</formula>
    </cfRule>
  </conditionalFormatting>
  <conditionalFormatting sqref="AK3:AK22">
    <cfRule type="cellIs" dxfId="5188" priority="7" stopIfTrue="1" operator="equal">
      <formula>"must average at least 5 innings per start"</formula>
    </cfRule>
  </conditionalFormatting>
  <conditionalFormatting sqref="AK23">
    <cfRule type="cellIs" dxfId="5187" priority="6" stopIfTrue="1" operator="equal">
      <formula>"must have 162 starts"</formula>
    </cfRule>
  </conditionalFormatting>
  <conditionalFormatting sqref="AG3:AG22">
    <cfRule type="cellIs" dxfId="5186" priority="5" stopIfTrue="1" operator="equal">
      <formula>"must average at least 5 innings per start"</formula>
    </cfRule>
  </conditionalFormatting>
  <conditionalFormatting sqref="AG23">
    <cfRule type="cellIs" dxfId="5185" priority="4" stopIfTrue="1" operator="equal">
      <formula>"must have 162 starts"</formula>
    </cfRule>
  </conditionalFormatting>
  <conditionalFormatting sqref="Q2">
    <cfRule type="cellIs" dxfId="5184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10178" divId="ROTcheck_10178" sourceType="sheet" destinationFile="C:\1kading\schedule\skedtam.html"/>
    <webPublishItem id="32111" divId="ROTcheck_32111" sourceType="range" sourceRef="A1:O193" destinationFile="C:\1kading\schedule\skedtam.html"/>
    <webPublishItem id="4561" divId="ROTcheck_4561" sourceType="range" sourceRef="A156:O185" destinationFile="C:\1kading\schedule\skedtam.html"/>
  </webPublishItems>
</worksheet>
</file>

<file path=xl/worksheets/sheet13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7109375" style="2" customWidth="1"/>
    <col min="2" max="2" width="3.7109375" style="2" customWidth="1"/>
    <col min="3" max="3" width="5.85546875" style="2" customWidth="1"/>
    <col min="4" max="4" width="31.285156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21.8554687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42578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51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 t="s">
        <v>32</v>
      </c>
      <c r="C3" s="33" t="s">
        <v>12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623</v>
      </c>
      <c r="T3" s="46" t="str">
        <f>IF(ISERROR((VLOOKUP(S3,Pitchers!$B$1:H$800,4,FALSE))),"",(VLOOKUP(S3,Pitchers!$B$1:H$800,4,FALSE)))</f>
        <v>WSN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13</v>
      </c>
      <c r="X3" s="47">
        <f>IF(ISERROR((VLOOKUP(S3,Pitchers!B$2:AA$795,11,FALSE))),"",(VLOOKUP(S3,Pitchers!B$2:AA$795,11,FALSE)))</f>
        <v>229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XY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MAD</v>
      </c>
    </row>
    <row r="4" spans="1:36" ht="12.75" customHeight="1">
      <c r="A4" s="6">
        <v>4.0199999999999996</v>
      </c>
      <c r="B4" s="33" t="s">
        <v>32</v>
      </c>
      <c r="C4" s="33" t="s">
        <v>12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497</v>
      </c>
      <c r="T4" s="46" t="str">
        <f>IF(ISERROR((VLOOKUP(S4,Pitchers!$B$1:H$800,4,FALSE))),"",(VLOOKUP(S4,Pitchers!$B$1:H$800,4,FALSE)))</f>
        <v>ATL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11</v>
      </c>
      <c r="X4" s="47">
        <f>IF(ISERROR((VLOOKUP(S4,Pitchers!B$2:AA$795,11,FALSE))),"",(VLOOKUP(S4,Pitchers!B$2:AA$795,11,FALSE)))</f>
        <v>206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>G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MAD</v>
      </c>
    </row>
    <row r="5" spans="1:36" ht="12.75" customHeight="1">
      <c r="A5" s="6">
        <v>4.03</v>
      </c>
      <c r="B5" s="33" t="s">
        <v>32</v>
      </c>
      <c r="C5" s="33" t="s">
        <v>12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204</v>
      </c>
      <c r="T5" s="46" t="str">
        <f>IF(ISERROR((VLOOKUP(S5,Pitchers!$B$1:H$800,4,FALSE))),"",(VLOOKUP(S5,Pitchers!$B$1:H$800,4,FALSE)))</f>
        <v>CLE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10</v>
      </c>
      <c r="X5" s="47">
        <f>IF(ISERROR((VLOOKUP(S5,Pitchers!B$2:AA$795,11,FALSE))),"",(VLOOKUP(S5,Pitchers!B$2:AA$795,11,FALSE)))</f>
        <v>184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XY</v>
      </c>
      <c r="AC5" s="52" t="str">
        <f>IF(ISERROR((VLOOKUP(S5,Pitchers!B$2:AA$795,17,FALSE))),"",(VLOOKUP(S5,Pitchers!B$2:AA$795,17,FALSE)))</f>
        <v>Z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MAD</v>
      </c>
    </row>
    <row r="6" spans="1:36" ht="12.75" customHeight="1">
      <c r="A6" s="6">
        <v>4.04</v>
      </c>
      <c r="B6" s="33" t="s">
        <v>32</v>
      </c>
      <c r="C6" s="33" t="s">
        <v>12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637</v>
      </c>
      <c r="T6" s="46" t="str">
        <f>IF(ISERROR((VLOOKUP(S6,Pitchers!$B$1:H$800,4,FALSE))),"",(VLOOKUP(S6,Pitchers!$B$1:H$800,4,FALSE)))</f>
        <v>WSN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10</v>
      </c>
      <c r="X6" s="47">
        <f>IF(ISERROR((VLOOKUP(S6,Pitchers!B$2:AA$795,11,FALSE))),"",(VLOOKUP(S6,Pitchers!B$2:AA$795,11,FALSE)))</f>
        <v>128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XY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MAD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444</v>
      </c>
      <c r="T7" s="46" t="str">
        <f>IF(ISERROR((VLOOKUP(S7,Pitchers!$B$1:H$800,4,FALSE))),"",(VLOOKUP(S7,Pitchers!$B$1:H$800,4,FALSE)))</f>
        <v>CLE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9</v>
      </c>
      <c r="X7" s="47">
        <f>IF(ISERROR((VLOOKUP(S7,Pitchers!B$2:AA$795,11,FALSE))),"",(VLOOKUP(S7,Pitchers!B$2:AA$795,11,FALSE)))</f>
        <v>222</v>
      </c>
      <c r="Y7" s="48"/>
      <c r="Z7" s="49"/>
      <c r="AA7" s="50"/>
      <c r="AB7" s="51" t="str">
        <f>IF(ISERROR((VLOOKUP(S7,Pitchers!B$2:AA$795,16,FALSE))),"",(VLOOKUP(S7,Pitchers!B$2:AA$795,16,FALSE)))</f>
        <v>XY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33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655</v>
      </c>
      <c r="T8" s="46" t="str">
        <f>IF(ISERROR((VLOOKUP(S8,Pitchers!$B$1:H$800,4,FALSE))),"",(VLOOKUP(S8,Pitchers!$B$1:H$800,4,FALSE)))</f>
        <v>KCR</v>
      </c>
      <c r="U8" s="45" t="str">
        <f>IF(ISERROR((VLOOKUP(S8,Pitchers!B$2:AA$795,10,FALSE))),"",(VLOOKUP(S8,Pitchers!B$2:AA$795,10,FALSE)))</f>
        <v>L</v>
      </c>
      <c r="V8" s="41"/>
      <c r="W8" s="46">
        <f>IF(ISERROR((VLOOKUP(S8,Pitchers!B$2:AA$795,13,FALSE))),"",(VLOOKUP(S8,Pitchers!B$2:AA$795,13,FALSE)))</f>
        <v>7</v>
      </c>
      <c r="X8" s="47">
        <f>IF(ISERROR((VLOOKUP(S8,Pitchers!B$2:AA$795,11,FALSE))),"",(VLOOKUP(S8,Pitchers!B$2:AA$795,11,FALSE)))</f>
        <v>43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MAD</v>
      </c>
    </row>
    <row r="9" spans="1:36" ht="12.75">
      <c r="A9" s="6">
        <v>4.07</v>
      </c>
      <c r="B9" s="33"/>
      <c r="C9" s="33" t="s">
        <v>33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1895</v>
      </c>
      <c r="T9" s="46" t="str">
        <f>IF(ISERROR((VLOOKUP(S9,Pitchers!$B$1:H$800,4,FALSE))),"",(VLOOKUP(S9,Pitchers!$B$1:H$800,4,FALSE)))</f>
        <v>ATL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3</v>
      </c>
      <c r="X9" s="47">
        <f>IF(ISERROR((VLOOKUP(S9,Pitchers!B$2:AA$795,11,FALSE))),"",(VLOOKUP(S9,Pitchers!B$2:AA$795,11,FALSE)))</f>
        <v>29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>Z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MAD</v>
      </c>
    </row>
    <row r="10" spans="1:36" ht="12.75">
      <c r="A10" s="6">
        <v>4.08</v>
      </c>
      <c r="B10" s="33"/>
      <c r="C10" s="33" t="s">
        <v>33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/>
      <c r="T10" s="46" t="str">
        <f>IF(ISERROR((VLOOKUP(S10,Pitchers!$B$1:H$800,4,FALSE))),"",(VLOOKUP(S10,Pitchers!$B$1:H$800,4,FALSE)))</f>
        <v/>
      </c>
      <c r="U10" s="45" t="str">
        <f>IF(ISERROR((VLOOKUP(S10,Pitchers!B$2:AA$795,10,FALSE))),"",(VLOOKUP(S10,Pitchers!B$2:AA$795,10,FALSE)))</f>
        <v/>
      </c>
      <c r="V10" s="41"/>
      <c r="W10" s="46" t="str">
        <f>IF(ISERROR((VLOOKUP(S10,Pitchers!B$2:AA$795,13,FALSE))),"",(VLOOKUP(S10,Pitchers!B$2:AA$795,13,FALSE)))</f>
        <v/>
      </c>
      <c r="X10" s="47" t="str">
        <f>IF(ISERROR((VLOOKUP(S10,Pitchers!B$2:AA$795,11,FALSE))),"",(VLOOKUP(S10,Pitchers!B$2:AA$795,11,FALSE)))</f>
        <v/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/>
      </c>
      <c r="AC10" s="52" t="str">
        <f>IF(ISERROR((VLOOKUP(S10,Pitchers!B$2:AA$795,17,FALSE))),"",(VLOOKUP(S10,Pitchers!B$2:AA$795,17,FALSE)))</f>
        <v/>
      </c>
      <c r="AD10" s="53" t="str">
        <f>IF(ISERROR((VLOOKUP(S10,Pitchers!B$2:AA$795,18,FALSE))),"",(VLOOKUP(S10,Pitchers!B$2:AA$795,18,FALSE)))</f>
        <v/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MAD</v>
      </c>
    </row>
    <row r="11" spans="1:36" ht="12.75">
      <c r="A11" s="6">
        <v>4.09</v>
      </c>
      <c r="B11" s="33"/>
      <c r="C11" s="33" t="s">
        <v>33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43"/>
      <c r="T11" s="46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MAD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6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 t="s">
        <v>32</v>
      </c>
      <c r="C13" s="33" t="s">
        <v>54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MAD</v>
      </c>
    </row>
    <row r="14" spans="1:36" ht="12.75">
      <c r="A14" s="6">
        <v>4.12</v>
      </c>
      <c r="B14" s="33" t="s">
        <v>32</v>
      </c>
      <c r="C14" s="33" t="s">
        <v>54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MAD</v>
      </c>
    </row>
    <row r="15" spans="1:36" ht="12.75">
      <c r="A15" s="6">
        <v>4.13</v>
      </c>
      <c r="B15" s="33" t="s">
        <v>32</v>
      </c>
      <c r="C15" s="33" t="s">
        <v>54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MAD</v>
      </c>
    </row>
    <row r="16" spans="1:36" ht="12.75">
      <c r="A16" s="6">
        <v>4.1399999999999997</v>
      </c>
      <c r="B16" s="33" t="s">
        <v>32</v>
      </c>
      <c r="C16" s="33" t="s">
        <v>54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MAD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33" t="s">
        <v>13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MAD</v>
      </c>
    </row>
    <row r="19" spans="1:36" ht="12.75">
      <c r="A19" s="6">
        <v>4.17</v>
      </c>
      <c r="B19" s="33" t="s">
        <v>32</v>
      </c>
      <c r="C19" s="33" t="s">
        <v>13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MAD</v>
      </c>
    </row>
    <row r="20" spans="1:36" ht="12.75">
      <c r="A20" s="6">
        <v>4.18</v>
      </c>
      <c r="B20" s="33" t="s">
        <v>32</v>
      </c>
      <c r="C20" s="33" t="s">
        <v>13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MAD</v>
      </c>
    </row>
    <row r="21" spans="1:36" ht="12.75">
      <c r="A21" s="6">
        <v>4.1900000000000004</v>
      </c>
      <c r="B21" s="33" t="s">
        <v>32</v>
      </c>
      <c r="C21" s="33" t="s">
        <v>13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MAD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35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MAD</v>
      </c>
    </row>
    <row r="24" spans="1:36" ht="12.75">
      <c r="A24" s="6">
        <v>4.22</v>
      </c>
      <c r="B24" s="33"/>
      <c r="C24" s="33" t="s">
        <v>35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MAD</v>
      </c>
    </row>
    <row r="25" spans="1:36" ht="12.75">
      <c r="A25" s="6">
        <v>4.2300000000000004</v>
      </c>
      <c r="B25" s="33"/>
      <c r="C25" s="33" t="s">
        <v>35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MAD</v>
      </c>
    </row>
    <row r="26" spans="1:36" ht="12.75">
      <c r="A26" s="6">
        <v>4.24</v>
      </c>
      <c r="B26" s="33"/>
      <c r="C26" s="33" t="s">
        <v>35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MAD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33" t="s">
        <v>39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MAD</v>
      </c>
    </row>
    <row r="29" spans="1:36" ht="12.75">
      <c r="A29" s="6">
        <v>4.2699999999999996</v>
      </c>
      <c r="B29" s="33" t="s">
        <v>32</v>
      </c>
      <c r="C29" s="33" t="s">
        <v>39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MAD</v>
      </c>
    </row>
    <row r="30" spans="1:36" ht="12.75">
      <c r="A30" s="6">
        <v>4.28</v>
      </c>
      <c r="B30" s="33" t="s">
        <v>32</v>
      </c>
      <c r="C30" s="33" t="s">
        <v>39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MAD</v>
      </c>
    </row>
    <row r="31" spans="1:36" ht="12.75">
      <c r="A31" s="6">
        <v>4.29</v>
      </c>
      <c r="B31" s="33" t="s">
        <v>32</v>
      </c>
      <c r="C31" s="33" t="s">
        <v>39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MAD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3"/>
      <c r="C33" s="33" t="s">
        <v>15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MAD</v>
      </c>
    </row>
    <row r="34" spans="1:36" ht="12.75">
      <c r="A34" s="6">
        <v>5.0199999999999996</v>
      </c>
      <c r="B34" s="33"/>
      <c r="C34" s="33" t="s">
        <v>15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MAD</v>
      </c>
    </row>
    <row r="35" spans="1:36" ht="12.75">
      <c r="A35" s="6">
        <v>5.03</v>
      </c>
      <c r="B35" s="33"/>
      <c r="C35" s="33" t="s">
        <v>15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MAD</v>
      </c>
    </row>
    <row r="36" spans="1:36" ht="12.75">
      <c r="A36" s="6">
        <v>5.04</v>
      </c>
      <c r="B36" s="33"/>
      <c r="C36" s="33" t="s">
        <v>15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MAD</v>
      </c>
    </row>
    <row r="37" spans="1:36" ht="12.75">
      <c r="A37" s="6">
        <v>5.05</v>
      </c>
      <c r="B37" s="33" t="s">
        <v>32</v>
      </c>
      <c r="C37" s="33" t="s">
        <v>47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MAD</v>
      </c>
    </row>
    <row r="38" spans="1:36" ht="12.75">
      <c r="A38" s="6">
        <v>5.0599999999999996</v>
      </c>
      <c r="B38" s="33" t="s">
        <v>32</v>
      </c>
      <c r="C38" s="33" t="s">
        <v>47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MAD</v>
      </c>
    </row>
    <row r="39" spans="1:36" ht="12.75">
      <c r="A39" s="6">
        <v>5.07</v>
      </c>
      <c r="B39" s="33" t="s">
        <v>32</v>
      </c>
      <c r="C39" s="33" t="s">
        <v>47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MAD</v>
      </c>
    </row>
    <row r="40" spans="1:36" ht="12.75">
      <c r="A40" s="6">
        <v>5.08</v>
      </c>
      <c r="B40" s="33" t="s">
        <v>32</v>
      </c>
      <c r="C40" s="33" t="s">
        <v>47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MAD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3" t="s">
        <v>32</v>
      </c>
      <c r="C42" s="33" t="s">
        <v>52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MAD</v>
      </c>
    </row>
    <row r="43" spans="1:36" ht="12.75">
      <c r="A43" s="6">
        <v>5.1100000000000003</v>
      </c>
      <c r="B43" s="33" t="s">
        <v>32</v>
      </c>
      <c r="C43" s="33" t="s">
        <v>52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MAD</v>
      </c>
    </row>
    <row r="44" spans="1:36" ht="12.75">
      <c r="A44" s="6">
        <v>5.12</v>
      </c>
      <c r="B44" s="33" t="s">
        <v>32</v>
      </c>
      <c r="C44" s="33" t="s">
        <v>52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MAD</v>
      </c>
    </row>
    <row r="45" spans="1:36" ht="12.75">
      <c r="A45" s="6">
        <v>5.13</v>
      </c>
      <c r="B45" s="33" t="s">
        <v>32</v>
      </c>
      <c r="C45" s="33" t="s">
        <v>52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MAD</v>
      </c>
    </row>
    <row r="46" spans="1:36" ht="12.75">
      <c r="A46" s="6">
        <v>5.14</v>
      </c>
      <c r="B46" s="33" t="s">
        <v>32</v>
      </c>
      <c r="C46" s="33" t="s">
        <v>1917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MAD</v>
      </c>
    </row>
    <row r="47" spans="1:36" ht="12.75">
      <c r="A47" s="6">
        <v>5.15</v>
      </c>
      <c r="B47" s="33" t="s">
        <v>32</v>
      </c>
      <c r="C47" s="33" t="s">
        <v>1917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MAD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1917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MAD</v>
      </c>
    </row>
    <row r="50" spans="1:36" ht="12.75">
      <c r="A50" s="6">
        <v>5.18</v>
      </c>
      <c r="B50" s="33" t="s">
        <v>32</v>
      </c>
      <c r="C50" s="33" t="s">
        <v>1917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MAD</v>
      </c>
    </row>
    <row r="51" spans="1:36" ht="12.75">
      <c r="A51" s="6">
        <v>5.19</v>
      </c>
      <c r="B51" s="34"/>
      <c r="C51" s="33" t="s">
        <v>49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MAD</v>
      </c>
    </row>
    <row r="52" spans="1:36" ht="12.75">
      <c r="A52" s="6">
        <v>5.2</v>
      </c>
      <c r="B52" s="34"/>
      <c r="C52" s="33" t="s">
        <v>49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MAD</v>
      </c>
    </row>
    <row r="53" spans="1:36" ht="12.75">
      <c r="A53" s="6">
        <v>5.21</v>
      </c>
      <c r="B53" s="34"/>
      <c r="C53" s="33" t="s">
        <v>49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MAD</v>
      </c>
    </row>
    <row r="54" spans="1:36" ht="12.75">
      <c r="A54" s="6">
        <v>5.22</v>
      </c>
      <c r="B54" s="33"/>
      <c r="C54" s="33" t="s">
        <v>49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MAD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/>
      <c r="C56" s="33" t="s">
        <v>14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MAD</v>
      </c>
    </row>
    <row r="57" spans="1:36" ht="12.75">
      <c r="A57" s="6">
        <v>5.25</v>
      </c>
      <c r="B57" s="33"/>
      <c r="C57" s="33" t="s">
        <v>14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MAD</v>
      </c>
    </row>
    <row r="58" spans="1:36" ht="12.75">
      <c r="A58" s="6">
        <v>5.26</v>
      </c>
      <c r="B58" s="33"/>
      <c r="C58" s="33" t="s">
        <v>14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MAD</v>
      </c>
    </row>
    <row r="59" spans="1:36" ht="12.75">
      <c r="A59" s="6">
        <v>5.27</v>
      </c>
      <c r="B59" s="33"/>
      <c r="C59" s="33" t="s">
        <v>14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MAD</v>
      </c>
    </row>
    <row r="60" spans="1:36" ht="12.75">
      <c r="A60" s="6">
        <v>5.28</v>
      </c>
      <c r="B60" s="33"/>
      <c r="C60" s="33" t="s">
        <v>56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MAD</v>
      </c>
    </row>
    <row r="61" spans="1:36" ht="12.75">
      <c r="A61" s="6">
        <v>5.29</v>
      </c>
      <c r="B61" s="33"/>
      <c r="C61" s="33" t="s">
        <v>56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MAD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3"/>
      <c r="C63" s="33" t="s">
        <v>56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MAD</v>
      </c>
    </row>
    <row r="64" spans="1:36" ht="12.75">
      <c r="A64" s="6">
        <v>6.01</v>
      </c>
      <c r="B64" s="33"/>
      <c r="C64" s="33" t="s">
        <v>42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MAD</v>
      </c>
    </row>
    <row r="65" spans="1:36" ht="12.75">
      <c r="A65" s="6">
        <v>6.02</v>
      </c>
      <c r="B65" s="33"/>
      <c r="C65" s="33" t="s">
        <v>42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MAD</v>
      </c>
    </row>
    <row r="66" spans="1:36" ht="12.75">
      <c r="A66" s="6">
        <v>6.03</v>
      </c>
      <c r="B66" s="33"/>
      <c r="C66" s="33" t="s">
        <v>42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MAD</v>
      </c>
    </row>
    <row r="67" spans="1:36" ht="12.75">
      <c r="A67" s="6">
        <v>6.04</v>
      </c>
      <c r="B67" s="33"/>
      <c r="C67" s="33" t="s">
        <v>42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MAD</v>
      </c>
    </row>
    <row r="68" spans="1:36" ht="12.75">
      <c r="A68" s="6">
        <v>6.05</v>
      </c>
      <c r="B68" s="33" t="s">
        <v>32</v>
      </c>
      <c r="C68" s="33" t="s">
        <v>46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MAD</v>
      </c>
    </row>
    <row r="69" spans="1:36" ht="12.75">
      <c r="A69" s="6">
        <v>6.06</v>
      </c>
      <c r="B69" s="33" t="s">
        <v>32</v>
      </c>
      <c r="C69" s="33" t="s">
        <v>46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MAD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3" t="s">
        <v>32</v>
      </c>
      <c r="C71" s="33" t="s">
        <v>46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MAD</v>
      </c>
    </row>
    <row r="72" spans="1:36" ht="12.75">
      <c r="A72" s="6">
        <v>6.09</v>
      </c>
      <c r="B72" s="33" t="s">
        <v>32</v>
      </c>
      <c r="C72" s="33" t="s">
        <v>46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MAD</v>
      </c>
    </row>
    <row r="73" spans="1:36" ht="12.75">
      <c r="A73" s="6">
        <v>6.1</v>
      </c>
      <c r="B73" s="33"/>
      <c r="C73" s="33" t="s">
        <v>1191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MAD</v>
      </c>
    </row>
    <row r="74" spans="1:36" ht="12.75">
      <c r="A74" s="6">
        <v>6.11</v>
      </c>
      <c r="B74" s="33"/>
      <c r="C74" s="33" t="s">
        <v>1191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MAD</v>
      </c>
    </row>
    <row r="75" spans="1:36" ht="12.75">
      <c r="A75" s="6">
        <v>6.12</v>
      </c>
      <c r="B75" s="33"/>
      <c r="C75" s="33" t="s">
        <v>1191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MAD</v>
      </c>
    </row>
    <row r="76" spans="1:36" ht="12.75">
      <c r="A76" s="6">
        <v>6.13</v>
      </c>
      <c r="B76" s="33"/>
      <c r="C76" s="33" t="s">
        <v>1191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MAD</v>
      </c>
    </row>
    <row r="77" spans="1:36" ht="12.75">
      <c r="A77" s="6">
        <v>6.14</v>
      </c>
      <c r="B77" s="33" t="s">
        <v>32</v>
      </c>
      <c r="C77" s="33" t="s">
        <v>40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MAD</v>
      </c>
    </row>
    <row r="78" spans="1:36" ht="12.75">
      <c r="A78" s="6">
        <v>6.15</v>
      </c>
      <c r="B78" s="33" t="s">
        <v>32</v>
      </c>
      <c r="C78" s="33" t="s">
        <v>40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MAD</v>
      </c>
    </row>
    <row r="79" spans="1:36" ht="12.75">
      <c r="A79" s="6">
        <v>6.16</v>
      </c>
      <c r="B79" s="33" t="s">
        <v>32</v>
      </c>
      <c r="C79" s="33" t="s">
        <v>40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MAD</v>
      </c>
    </row>
    <row r="80" spans="1:36" ht="12.75">
      <c r="A80" s="6">
        <v>6.17</v>
      </c>
      <c r="B80" s="33" t="s">
        <v>32</v>
      </c>
      <c r="C80" s="33" t="s">
        <v>40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MAD</v>
      </c>
    </row>
    <row r="81" spans="1:36" ht="12.75">
      <c r="A81" s="6">
        <v>6.18</v>
      </c>
      <c r="B81" s="33"/>
      <c r="C81" s="33" t="s">
        <v>34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MAD</v>
      </c>
    </row>
    <row r="82" spans="1:36" ht="12.75">
      <c r="A82" s="6">
        <v>6.19</v>
      </c>
      <c r="B82" s="33"/>
      <c r="C82" s="33" t="s">
        <v>34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MAD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3"/>
      <c r="C84" s="33" t="s">
        <v>34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MAD</v>
      </c>
    </row>
    <row r="85" spans="1:36" ht="12.75">
      <c r="A85" s="6">
        <v>6.22</v>
      </c>
      <c r="B85" s="33"/>
      <c r="C85" s="33" t="s">
        <v>34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MAD</v>
      </c>
    </row>
    <row r="86" spans="1:36" ht="12.75">
      <c r="A86" s="6">
        <v>6.23</v>
      </c>
      <c r="B86" s="33" t="s">
        <v>32</v>
      </c>
      <c r="C86" s="33" t="s">
        <v>1918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MAD</v>
      </c>
    </row>
    <row r="87" spans="1:36" ht="12.75">
      <c r="A87" s="6">
        <v>6.24</v>
      </c>
      <c r="B87" s="33" t="s">
        <v>32</v>
      </c>
      <c r="C87" s="33" t="s">
        <v>1918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MAD</v>
      </c>
    </row>
    <row r="88" spans="1:36" ht="12.75">
      <c r="A88" s="6">
        <v>6.25</v>
      </c>
      <c r="B88" s="33" t="s">
        <v>32</v>
      </c>
      <c r="C88" s="33" t="s">
        <v>1918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MAD</v>
      </c>
    </row>
    <row r="89" spans="1:36" ht="12.75">
      <c r="A89" s="6">
        <v>6.26</v>
      </c>
      <c r="B89" s="33" t="s">
        <v>32</v>
      </c>
      <c r="C89" s="33" t="s">
        <v>1918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MAD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5">
      <c r="A91" s="6">
        <v>6.28</v>
      </c>
      <c r="B91" s="36" t="s">
        <v>32</v>
      </c>
      <c r="C91" s="36" t="s">
        <v>44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MAD</v>
      </c>
    </row>
    <row r="92" spans="1:36" ht="15">
      <c r="A92" s="6">
        <v>6.29</v>
      </c>
      <c r="B92" s="36" t="s">
        <v>32</v>
      </c>
      <c r="C92" s="36" t="s">
        <v>44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MAD</v>
      </c>
    </row>
    <row r="93" spans="1:36" ht="15">
      <c r="A93" s="6">
        <v>6.3</v>
      </c>
      <c r="B93" s="36" t="s">
        <v>32</v>
      </c>
      <c r="C93" s="36" t="s">
        <v>44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MAD</v>
      </c>
    </row>
    <row r="94" spans="1:36" ht="12.75">
      <c r="A94" s="6">
        <v>7.01</v>
      </c>
      <c r="B94" s="33"/>
      <c r="C94" s="33" t="s">
        <v>48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MAD</v>
      </c>
    </row>
    <row r="95" spans="1:36" ht="12.75">
      <c r="A95" s="6">
        <v>7.02</v>
      </c>
      <c r="B95" s="33"/>
      <c r="C95" s="33" t="s">
        <v>48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MAD</v>
      </c>
    </row>
    <row r="96" spans="1:36" ht="12.75">
      <c r="A96" s="6">
        <v>7.03</v>
      </c>
      <c r="B96" s="33"/>
      <c r="C96" s="33" t="s">
        <v>48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MAD</v>
      </c>
    </row>
    <row r="97" spans="1:36" ht="12.75">
      <c r="A97" s="6">
        <v>7.04</v>
      </c>
      <c r="B97" s="33" t="s">
        <v>32</v>
      </c>
      <c r="C97" s="33" t="s">
        <v>17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MAD</v>
      </c>
    </row>
    <row r="98" spans="1:36" ht="12.75">
      <c r="A98" s="6">
        <v>7.05</v>
      </c>
      <c r="B98" s="33" t="s">
        <v>32</v>
      </c>
      <c r="C98" s="33" t="s">
        <v>17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MAD</v>
      </c>
    </row>
    <row r="99" spans="1:36" ht="12.75">
      <c r="A99" s="6">
        <v>7.06</v>
      </c>
      <c r="B99" s="33" t="s">
        <v>32</v>
      </c>
      <c r="C99" s="33" t="s">
        <v>17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MAD</v>
      </c>
    </row>
    <row r="100" spans="1:36" ht="12.75">
      <c r="A100" s="6">
        <v>7.07</v>
      </c>
      <c r="B100" s="33" t="s">
        <v>32</v>
      </c>
      <c r="C100" s="33" t="s">
        <v>45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MAD</v>
      </c>
    </row>
    <row r="101" spans="1:36" ht="12.75">
      <c r="A101" s="6">
        <v>7.08</v>
      </c>
      <c r="B101" s="33" t="s">
        <v>32</v>
      </c>
      <c r="C101" s="33" t="s">
        <v>45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MAD</v>
      </c>
    </row>
    <row r="102" spans="1:36" ht="12.75">
      <c r="A102" s="6">
        <v>7.09</v>
      </c>
      <c r="B102" s="33" t="s">
        <v>32</v>
      </c>
      <c r="C102" s="33" t="s">
        <v>45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MAD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3" t="s">
        <v>32</v>
      </c>
      <c r="C106" s="33" t="s">
        <v>1919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MAD</v>
      </c>
    </row>
    <row r="107" spans="1:36" ht="12.75">
      <c r="A107" s="6">
        <v>7.14</v>
      </c>
      <c r="B107" s="33" t="s">
        <v>32</v>
      </c>
      <c r="C107" s="33" t="s">
        <v>1919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MAD</v>
      </c>
    </row>
    <row r="108" spans="1:36" ht="12.75">
      <c r="A108" s="6">
        <v>7.15</v>
      </c>
      <c r="B108" s="33" t="s">
        <v>32</v>
      </c>
      <c r="C108" s="33" t="s">
        <v>1919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MAD</v>
      </c>
    </row>
    <row r="109" spans="1:36" ht="12.75">
      <c r="A109" s="6">
        <v>7.16</v>
      </c>
      <c r="B109" s="33" t="s">
        <v>32</v>
      </c>
      <c r="C109" s="33" t="s">
        <v>16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MAD</v>
      </c>
    </row>
    <row r="110" spans="1:36" ht="12.75">
      <c r="A110" s="6">
        <v>7.17</v>
      </c>
      <c r="B110" s="33" t="s">
        <v>32</v>
      </c>
      <c r="C110" s="33" t="s">
        <v>16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MAD</v>
      </c>
    </row>
    <row r="111" spans="1:36" ht="12.75">
      <c r="A111" s="6">
        <v>7.18</v>
      </c>
      <c r="B111" s="33" t="s">
        <v>32</v>
      </c>
      <c r="C111" s="33" t="s">
        <v>16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MAD</v>
      </c>
    </row>
    <row r="112" spans="1:36" ht="12.75">
      <c r="A112" s="6">
        <v>7.19</v>
      </c>
      <c r="B112" s="33"/>
      <c r="C112" s="33" t="s">
        <v>53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MAD</v>
      </c>
    </row>
    <row r="113" spans="1:36" ht="12.75">
      <c r="A113" s="6">
        <v>7.2</v>
      </c>
      <c r="B113" s="33"/>
      <c r="C113" s="33" t="s">
        <v>53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MAD</v>
      </c>
    </row>
    <row r="114" spans="1:36" ht="12.75">
      <c r="A114" s="6">
        <v>7.21</v>
      </c>
      <c r="B114" s="33"/>
      <c r="C114" s="33" t="s">
        <v>53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MAD</v>
      </c>
    </row>
    <row r="115" spans="1:36" ht="12.75">
      <c r="A115" s="6">
        <v>7.22</v>
      </c>
      <c r="B115" s="33"/>
      <c r="C115" s="33" t="s">
        <v>53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MAD</v>
      </c>
    </row>
    <row r="116" spans="1:36" ht="12.75">
      <c r="A116" s="6">
        <v>7.23</v>
      </c>
      <c r="B116" s="33" t="s">
        <v>32</v>
      </c>
      <c r="C116" s="33" t="s">
        <v>41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MAD</v>
      </c>
    </row>
    <row r="117" spans="1:36" ht="12.75">
      <c r="A117" s="6">
        <v>7.24</v>
      </c>
      <c r="B117" s="33" t="s">
        <v>32</v>
      </c>
      <c r="C117" s="33" t="s">
        <v>41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MAD</v>
      </c>
    </row>
    <row r="118" spans="1:36" ht="12.75">
      <c r="A118" s="6">
        <v>7.25</v>
      </c>
      <c r="B118" s="33" t="s">
        <v>32</v>
      </c>
      <c r="C118" s="33" t="s">
        <v>41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MAD</v>
      </c>
    </row>
    <row r="119" spans="1:36" ht="12.75">
      <c r="A119" s="6">
        <v>7.26</v>
      </c>
      <c r="B119" s="33" t="s">
        <v>32</v>
      </c>
      <c r="C119" s="33" t="s">
        <v>41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MAD</v>
      </c>
    </row>
    <row r="120" spans="1:36" ht="12.75">
      <c r="A120" s="6">
        <v>7.27</v>
      </c>
      <c r="B120" s="32" t="s">
        <v>32</v>
      </c>
      <c r="C120" s="33" t="s">
        <v>43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MAD</v>
      </c>
    </row>
    <row r="121" spans="1:36" ht="12.75">
      <c r="A121" s="6">
        <v>7.28</v>
      </c>
      <c r="B121" s="32" t="s">
        <v>32</v>
      </c>
      <c r="C121" s="33" t="s">
        <v>43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MAD</v>
      </c>
    </row>
    <row r="122" spans="1:36" ht="12.75">
      <c r="A122" s="6">
        <v>7.29</v>
      </c>
      <c r="B122" s="32" t="s">
        <v>32</v>
      </c>
      <c r="C122" s="33" t="s">
        <v>43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MAD</v>
      </c>
    </row>
    <row r="123" spans="1:36" ht="12.75">
      <c r="A123" s="6">
        <v>7.3</v>
      </c>
      <c r="B123" s="32" t="s">
        <v>32</v>
      </c>
      <c r="C123" s="33" t="s">
        <v>43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MAD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55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MAD</v>
      </c>
    </row>
    <row r="126" spans="1:36" ht="12.75">
      <c r="A126" s="6">
        <v>8.02</v>
      </c>
      <c r="B126" s="33" t="s">
        <v>32</v>
      </c>
      <c r="C126" s="33" t="s">
        <v>55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MAD</v>
      </c>
    </row>
    <row r="127" spans="1:36" ht="12.75">
      <c r="A127" s="6">
        <v>8.0299999999999994</v>
      </c>
      <c r="B127" s="33" t="s">
        <v>32</v>
      </c>
      <c r="C127" s="33" t="s">
        <v>55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MAD</v>
      </c>
    </row>
    <row r="128" spans="1:36" ht="12.75">
      <c r="A128" s="6">
        <v>8.0399999999999991</v>
      </c>
      <c r="B128" s="33" t="s">
        <v>32</v>
      </c>
      <c r="C128" s="33" t="s">
        <v>55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MAD</v>
      </c>
    </row>
    <row r="129" spans="1:36" ht="12.75">
      <c r="A129" s="6">
        <v>8.0500000000000007</v>
      </c>
      <c r="B129" s="33" t="s">
        <v>32</v>
      </c>
      <c r="C129" s="33" t="s">
        <v>48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MAD</v>
      </c>
    </row>
    <row r="130" spans="1:36" ht="12.75">
      <c r="A130" s="6">
        <v>8.06</v>
      </c>
      <c r="B130" s="33" t="s">
        <v>32</v>
      </c>
      <c r="C130" s="33" t="s">
        <v>48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MAD</v>
      </c>
    </row>
    <row r="131" spans="1:36" ht="12.75">
      <c r="A131" s="6">
        <v>8.07</v>
      </c>
      <c r="B131" s="33" t="s">
        <v>32</v>
      </c>
      <c r="C131" s="33" t="s">
        <v>48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MAD</v>
      </c>
    </row>
    <row r="132" spans="1:36" ht="12.75">
      <c r="A132" s="6">
        <v>8.08</v>
      </c>
      <c r="B132" s="33" t="s">
        <v>32</v>
      </c>
      <c r="C132" s="33" t="s">
        <v>48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MAD</v>
      </c>
    </row>
    <row r="133" spans="1:36" ht="12.75">
      <c r="A133" s="6">
        <v>8.09</v>
      </c>
      <c r="B133" s="33"/>
      <c r="C133" s="33" t="s">
        <v>16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MAD</v>
      </c>
    </row>
    <row r="134" spans="1:36" ht="12.75">
      <c r="A134" s="6">
        <v>8.1</v>
      </c>
      <c r="B134" s="33"/>
      <c r="C134" s="33" t="s">
        <v>16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MAD</v>
      </c>
    </row>
    <row r="135" spans="1:36" ht="12.75">
      <c r="A135" s="6">
        <v>8.11</v>
      </c>
      <c r="B135" s="33"/>
      <c r="C135" s="33" t="s">
        <v>16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MAD</v>
      </c>
    </row>
    <row r="136" spans="1:36" ht="12.75">
      <c r="A136" s="6">
        <v>8.1199999999999992</v>
      </c>
      <c r="B136" s="33"/>
      <c r="C136" s="33" t="s">
        <v>16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MAD</v>
      </c>
    </row>
    <row r="137" spans="1:36" ht="12.75">
      <c r="A137" s="6">
        <v>8.1300000000000008</v>
      </c>
      <c r="B137" s="33"/>
      <c r="C137" s="33" t="s">
        <v>44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MAD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44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MAD</v>
      </c>
    </row>
    <row r="140" spans="1:36" ht="12.75">
      <c r="A140" s="6">
        <v>8.16</v>
      </c>
      <c r="B140" s="33"/>
      <c r="C140" s="33" t="s">
        <v>44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MAD</v>
      </c>
    </row>
    <row r="141" spans="1:36" ht="12.75">
      <c r="A141" s="6">
        <v>8.17</v>
      </c>
      <c r="B141" s="33"/>
      <c r="C141" s="33" t="s">
        <v>44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MAD</v>
      </c>
    </row>
    <row r="142" spans="1:36" ht="12.75">
      <c r="A142" s="6">
        <v>8.18</v>
      </c>
      <c r="B142" s="32" t="s">
        <v>32</v>
      </c>
      <c r="C142" s="33" t="s">
        <v>15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MAD</v>
      </c>
    </row>
    <row r="143" spans="1:36" ht="12.75">
      <c r="A143" s="6">
        <v>8.19</v>
      </c>
      <c r="B143" s="32" t="s">
        <v>32</v>
      </c>
      <c r="C143" s="33" t="s">
        <v>15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MAD</v>
      </c>
    </row>
    <row r="144" spans="1:36" ht="12.75">
      <c r="A144" s="6">
        <v>8.1999999999999993</v>
      </c>
      <c r="B144" s="32" t="s">
        <v>32</v>
      </c>
      <c r="C144" s="33" t="s">
        <v>15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MAD</v>
      </c>
    </row>
    <row r="145" spans="1:36" ht="12.75">
      <c r="A145" s="6">
        <v>8.2100000000000009</v>
      </c>
      <c r="B145" s="33"/>
      <c r="C145" s="33" t="s">
        <v>1919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MAD</v>
      </c>
    </row>
    <row r="146" spans="1:36" ht="12.75">
      <c r="A146" s="6">
        <v>8.2200000000000006</v>
      </c>
      <c r="B146" s="33"/>
      <c r="C146" s="33" t="s">
        <v>1919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MAD</v>
      </c>
    </row>
    <row r="147" spans="1:36" ht="12.75">
      <c r="A147" s="6">
        <v>8.23</v>
      </c>
      <c r="B147" s="33"/>
      <c r="C147" s="33" t="s">
        <v>1919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MAD</v>
      </c>
    </row>
    <row r="148" spans="1:36" ht="12.75">
      <c r="A148" s="6">
        <v>8.24</v>
      </c>
      <c r="B148" s="33"/>
      <c r="C148" s="33" t="s">
        <v>1919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MAD</v>
      </c>
    </row>
    <row r="149" spans="1:36" ht="12.75">
      <c r="A149" s="6">
        <v>8.25</v>
      </c>
      <c r="B149" s="33"/>
      <c r="C149" s="33" t="s">
        <v>17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MAD</v>
      </c>
    </row>
    <row r="150" spans="1:36" ht="12.75">
      <c r="A150" s="6">
        <v>8.26</v>
      </c>
      <c r="B150" s="33"/>
      <c r="C150" s="33" t="s">
        <v>17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MAD</v>
      </c>
    </row>
    <row r="151" spans="1:36" ht="12.75">
      <c r="A151" s="6">
        <v>8.27</v>
      </c>
      <c r="B151" s="33"/>
      <c r="C151" s="33" t="s">
        <v>17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MAD</v>
      </c>
    </row>
    <row r="152" spans="1:36" ht="12.75">
      <c r="A152" s="6">
        <v>8.2799999999999994</v>
      </c>
      <c r="B152" s="33"/>
      <c r="C152" s="33" t="s">
        <v>17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MAD</v>
      </c>
    </row>
    <row r="153" spans="1:36" ht="12.75">
      <c r="A153" s="6">
        <v>8.2899999999999991</v>
      </c>
      <c r="B153" s="33"/>
      <c r="C153" s="33" t="s">
        <v>47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MAD</v>
      </c>
    </row>
    <row r="154" spans="1:36" ht="12.75">
      <c r="A154" s="6">
        <v>8.3000000000000007</v>
      </c>
      <c r="B154" s="33"/>
      <c r="C154" s="33" t="s">
        <v>47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MAD</v>
      </c>
    </row>
    <row r="155" spans="1:36" ht="12.75">
      <c r="A155" s="6">
        <v>8.31</v>
      </c>
      <c r="B155" s="33"/>
      <c r="C155" s="33" t="s">
        <v>47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MAD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49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MAD</v>
      </c>
    </row>
    <row r="158" spans="1:36" ht="12.75">
      <c r="A158" s="6">
        <v>9.0299999999999994</v>
      </c>
      <c r="B158" s="33" t="s">
        <v>32</v>
      </c>
      <c r="C158" s="33" t="s">
        <v>49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MAD</v>
      </c>
    </row>
    <row r="159" spans="1:36" ht="12.75">
      <c r="A159" s="6">
        <v>9.0399999999999991</v>
      </c>
      <c r="B159" s="33" t="s">
        <v>32</v>
      </c>
      <c r="C159" s="33" t="s">
        <v>49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MAD</v>
      </c>
    </row>
    <row r="160" spans="1:36" ht="12.75">
      <c r="A160" s="6">
        <v>9.0500000000000007</v>
      </c>
      <c r="B160" s="33"/>
      <c r="C160" s="33" t="s">
        <v>46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MAD</v>
      </c>
    </row>
    <row r="161" spans="1:36" ht="12.75">
      <c r="A161" s="6">
        <v>9.06</v>
      </c>
      <c r="B161" s="33"/>
      <c r="C161" s="33" t="s">
        <v>46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MAD</v>
      </c>
    </row>
    <row r="162" spans="1:36" ht="12.75">
      <c r="A162" s="6">
        <v>9.07</v>
      </c>
      <c r="B162" s="33"/>
      <c r="C162" s="33" t="s">
        <v>46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MAD</v>
      </c>
    </row>
    <row r="163" spans="1:36" ht="12.75">
      <c r="A163" s="6">
        <v>9.08</v>
      </c>
      <c r="B163" s="33"/>
      <c r="C163" s="33" t="s">
        <v>1917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MAD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1917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MAD</v>
      </c>
    </row>
    <row r="166" spans="1:36" ht="12.75">
      <c r="A166" s="6">
        <v>9.11</v>
      </c>
      <c r="B166" s="33"/>
      <c r="C166" s="33" t="s">
        <v>1917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MAD</v>
      </c>
    </row>
    <row r="167" spans="1:36" ht="12.75">
      <c r="A167" s="6">
        <v>9.1199999999999992</v>
      </c>
      <c r="B167" s="32" t="s">
        <v>32</v>
      </c>
      <c r="C167" s="33" t="s">
        <v>56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MAD</v>
      </c>
    </row>
    <row r="168" spans="1:36" ht="12.75">
      <c r="A168" s="6">
        <v>9.1300000000000008</v>
      </c>
      <c r="B168" s="32" t="s">
        <v>32</v>
      </c>
      <c r="C168" s="33" t="s">
        <v>56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MAD</v>
      </c>
    </row>
    <row r="169" spans="1:36" ht="12.75">
      <c r="A169" s="6">
        <v>9.14</v>
      </c>
      <c r="B169" s="32" t="s">
        <v>32</v>
      </c>
      <c r="C169" s="33" t="s">
        <v>56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MAD</v>
      </c>
    </row>
    <row r="170" spans="1:36" ht="12.75">
      <c r="A170" s="6">
        <v>9.15</v>
      </c>
      <c r="B170" s="32" t="s">
        <v>32</v>
      </c>
      <c r="C170" s="33" t="s">
        <v>56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MAD</v>
      </c>
    </row>
    <row r="171" spans="1:36" ht="12.75">
      <c r="A171" s="6">
        <v>9.16</v>
      </c>
      <c r="B171" s="33"/>
      <c r="C171" s="33" t="s">
        <v>55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MAD</v>
      </c>
    </row>
    <row r="172" spans="1:36" ht="12.75">
      <c r="A172" s="6">
        <v>9.17</v>
      </c>
      <c r="B172" s="33"/>
      <c r="C172" s="33" t="s">
        <v>55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MAD</v>
      </c>
    </row>
    <row r="173" spans="1:36" ht="12.75">
      <c r="A173" s="6">
        <v>9.18</v>
      </c>
      <c r="B173" s="33"/>
      <c r="C173" s="33" t="s">
        <v>55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MAD</v>
      </c>
    </row>
    <row r="174" spans="1:36" ht="12.75">
      <c r="A174" s="6">
        <v>9.19</v>
      </c>
      <c r="B174" s="33"/>
      <c r="C174" s="33" t="s">
        <v>45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MAD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45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MAD</v>
      </c>
    </row>
    <row r="177" spans="1:36" ht="12.75">
      <c r="A177" s="6">
        <v>9.2200000000000006</v>
      </c>
      <c r="B177" s="33"/>
      <c r="C177" s="33" t="s">
        <v>45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MAD</v>
      </c>
    </row>
    <row r="178" spans="1:36" ht="12.75">
      <c r="A178" s="6">
        <v>9.23</v>
      </c>
      <c r="B178" s="33"/>
      <c r="C178" s="33" t="s">
        <v>45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MAD</v>
      </c>
    </row>
    <row r="179" spans="1:36" ht="12.75">
      <c r="A179" s="6">
        <v>9.24</v>
      </c>
      <c r="B179" s="33"/>
      <c r="C179" s="33" t="s">
        <v>12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MAD</v>
      </c>
    </row>
    <row r="180" spans="1:36" ht="12.75">
      <c r="A180" s="6">
        <v>9.25</v>
      </c>
      <c r="B180" s="33"/>
      <c r="C180" s="33" t="s">
        <v>12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MAD</v>
      </c>
    </row>
    <row r="181" spans="1:36" ht="12.75">
      <c r="A181" s="6">
        <v>9.26</v>
      </c>
      <c r="B181" s="33"/>
      <c r="C181" s="33" t="s">
        <v>12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MAD</v>
      </c>
    </row>
    <row r="182" spans="1:36" ht="12.75">
      <c r="A182" s="6">
        <v>9.27</v>
      </c>
      <c r="B182" s="33"/>
      <c r="C182" s="33" t="s">
        <v>1918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MAD</v>
      </c>
    </row>
    <row r="183" spans="1:36" ht="12.75">
      <c r="A183" s="6">
        <v>9.2799999999999994</v>
      </c>
      <c r="B183" s="33"/>
      <c r="C183" s="33" t="s">
        <v>1918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MAD</v>
      </c>
    </row>
    <row r="184" spans="1:36" ht="12.75">
      <c r="A184" s="6">
        <v>9.2899999999999991</v>
      </c>
      <c r="B184" s="33"/>
      <c r="C184" s="33" t="s">
        <v>1918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MAD</v>
      </c>
    </row>
    <row r="185" spans="1:36" ht="12.75">
      <c r="A185" s="6">
        <v>9.3000000000000007</v>
      </c>
      <c r="B185" s="33"/>
      <c r="C185" s="33" t="s">
        <v>1918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MAD</v>
      </c>
    </row>
    <row r="186" spans="1:36">
      <c r="K186" s="1"/>
      <c r="L186" s="9"/>
      <c r="M186" s="8"/>
      <c r="N186" s="8"/>
      <c r="O186" s="8"/>
      <c r="P186" s="5"/>
      <c r="AJ186" s="2"/>
    </row>
    <row r="187" spans="1:36">
      <c r="A187" s="6"/>
      <c r="B187" s="5">
        <f>COUNTIF(B3:B185,"@")</f>
        <v>81</v>
      </c>
      <c r="C187" s="6"/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4:36"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4:36">
      <c r="K194" s="2"/>
      <c r="AJ194" s="2"/>
    </row>
    <row r="195" spans="4:36">
      <c r="K195" s="2"/>
      <c r="AJ195" s="2"/>
    </row>
    <row r="196" spans="4:36">
      <c r="K196" s="2"/>
      <c r="AJ196" s="2"/>
    </row>
    <row r="197" spans="4:36">
      <c r="K197" s="2"/>
      <c r="AJ197" s="2"/>
    </row>
    <row r="198" spans="4:36">
      <c r="K198" s="2"/>
      <c r="AJ198" s="2"/>
    </row>
    <row r="199" spans="4:36">
      <c r="K199" s="2"/>
      <c r="AJ199" s="2"/>
    </row>
    <row r="200" spans="4:36">
      <c r="K200" s="2"/>
      <c r="AJ200" s="2"/>
    </row>
    <row r="201" spans="4:36">
      <c r="K201" s="2"/>
      <c r="AJ201" s="2"/>
    </row>
    <row r="202" spans="4:36">
      <c r="K202" s="2"/>
      <c r="AJ202" s="2"/>
    </row>
    <row r="203" spans="4:36">
      <c r="K203" s="2"/>
      <c r="AJ203" s="2"/>
    </row>
    <row r="204" spans="4:36">
      <c r="AJ204" s="2"/>
    </row>
    <row r="205" spans="4:36">
      <c r="AJ205" s="2"/>
    </row>
    <row r="206" spans="4:36">
      <c r="AJ206" s="2"/>
    </row>
    <row r="207" spans="4:36">
      <c r="AJ207" s="2"/>
    </row>
    <row r="208" spans="4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5183" priority="3710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82" priority="3711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5181" priority="3712" stopIfTrue="1" operator="equal">
      <formula>"input a different starter in column C"</formula>
    </cfRule>
  </conditionalFormatting>
  <conditionalFormatting sqref="AK23">
    <cfRule type="cellIs" dxfId="5180" priority="3714" stopIfTrue="1" operator="equal">
      <formula>"must have 162 starts"</formula>
    </cfRule>
  </conditionalFormatting>
  <conditionalFormatting sqref="AH3:AH22">
    <cfRule type="cellIs" dxfId="5179" priority="3381" stopIfTrue="1" operator="equal">
      <formula>"must average at least 5 innings per start"</formula>
    </cfRule>
  </conditionalFormatting>
  <conditionalFormatting sqref="AH23">
    <cfRule type="cellIs" dxfId="5178" priority="3380" stopIfTrue="1" operator="equal">
      <formula>"must have 162 starts"</formula>
    </cfRule>
  </conditionalFormatting>
  <conditionalFormatting sqref="AG3:AG22">
    <cfRule type="cellIs" dxfId="5177" priority="3379" stopIfTrue="1" operator="equal">
      <formula>"must average at least 5 innings per start"</formula>
    </cfRule>
  </conditionalFormatting>
  <conditionalFormatting sqref="AG23">
    <cfRule type="cellIs" dxfId="5176" priority="3378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75" priority="337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74" priority="337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73" priority="337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72" priority="337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71" priority="337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70" priority="337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69" priority="337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68" priority="337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167" priority="3369" stopIfTrue="1" operator="equal">
      <formula>"input starter in column C"</formula>
    </cfRule>
  </conditionalFormatting>
  <conditionalFormatting sqref="P3">
    <cfRule type="cellIs" dxfId="5166" priority="3368" stopIfTrue="1" operator="equal">
      <formula>"input starter in column D"</formula>
    </cfRule>
  </conditionalFormatting>
  <conditionalFormatting sqref="P4">
    <cfRule type="cellIs" dxfId="5165" priority="3367" stopIfTrue="1" operator="equal">
      <formula>"input starter in column D"</formula>
    </cfRule>
  </conditionalFormatting>
  <conditionalFormatting sqref="P5">
    <cfRule type="cellIs" dxfId="5164" priority="3366" stopIfTrue="1" operator="equal">
      <formula>"INPUT STARTER IN COLUMN D"</formula>
    </cfRule>
  </conditionalFormatting>
  <conditionalFormatting sqref="P6">
    <cfRule type="cellIs" dxfId="5163" priority="3365" stopIfTrue="1" operator="equal">
      <formula>"INPUT STARTER IN COLUMN D"</formula>
    </cfRule>
  </conditionalFormatting>
  <conditionalFormatting sqref="P8">
    <cfRule type="cellIs" dxfId="5162" priority="3364" stopIfTrue="1" operator="equal">
      <formula>"INPUT STARTER IN COLUMN D"</formula>
    </cfRule>
  </conditionalFormatting>
  <conditionalFormatting sqref="P9">
    <cfRule type="cellIs" dxfId="5161" priority="3363" stopIfTrue="1" operator="equal">
      <formula>"INPUT STARTER IN COLUMN D"</formula>
    </cfRule>
  </conditionalFormatting>
  <conditionalFormatting sqref="P10">
    <cfRule type="cellIs" dxfId="5160" priority="3362" stopIfTrue="1" operator="equal">
      <formula>"INPUT STARTER IN COLUMN D"</formula>
    </cfRule>
  </conditionalFormatting>
  <conditionalFormatting sqref="P11">
    <cfRule type="cellIs" dxfId="5159" priority="3361" stopIfTrue="1" operator="equal">
      <formula>"INPUT STARTER IN COLUMN D"</formula>
    </cfRule>
  </conditionalFormatting>
  <conditionalFormatting sqref="P13">
    <cfRule type="cellIs" dxfId="5158" priority="3360" stopIfTrue="1" operator="equal">
      <formula>"INPUT STARTER IN COLUMN D"</formula>
    </cfRule>
  </conditionalFormatting>
  <conditionalFormatting sqref="P14">
    <cfRule type="cellIs" dxfId="5157" priority="3359" stopIfTrue="1" operator="equal">
      <formula>"INPUT STARTER IN COLUMN D"</formula>
    </cfRule>
  </conditionalFormatting>
  <conditionalFormatting sqref="P15">
    <cfRule type="cellIs" dxfId="5156" priority="3358" stopIfTrue="1" operator="equal">
      <formula>"INPUT STARTER IN COLUMN D"</formula>
    </cfRule>
  </conditionalFormatting>
  <conditionalFormatting sqref="P16">
    <cfRule type="cellIs" dxfId="5155" priority="3357" stopIfTrue="1" operator="equal">
      <formula>"INPUT STARTER IN COLUMN D"</formula>
    </cfRule>
  </conditionalFormatting>
  <conditionalFormatting sqref="P18">
    <cfRule type="cellIs" dxfId="5154" priority="3356" stopIfTrue="1" operator="equal">
      <formula>"INPUT STARTER IN COLUMN D"</formula>
    </cfRule>
  </conditionalFormatting>
  <conditionalFormatting sqref="P19">
    <cfRule type="cellIs" dxfId="5153" priority="3355" stopIfTrue="1" operator="equal">
      <formula>"INPUT STARTER IN COLUMN D"</formula>
    </cfRule>
  </conditionalFormatting>
  <conditionalFormatting sqref="P20">
    <cfRule type="cellIs" dxfId="5152" priority="3354" stopIfTrue="1" operator="equal">
      <formula>"INPUT STARTER IN COLUMN D"</formula>
    </cfRule>
  </conditionalFormatting>
  <conditionalFormatting sqref="P21">
    <cfRule type="cellIs" dxfId="5151" priority="3353" stopIfTrue="1" operator="equal">
      <formula>"INPUT STARTER IN COLUMN D"</formula>
    </cfRule>
  </conditionalFormatting>
  <conditionalFormatting sqref="P23">
    <cfRule type="cellIs" dxfId="5150" priority="3352" stopIfTrue="1" operator="equal">
      <formula>"INPUT STARTER IN COLUMN D"</formula>
    </cfRule>
  </conditionalFormatting>
  <conditionalFormatting sqref="P24">
    <cfRule type="cellIs" dxfId="5149" priority="3351" stopIfTrue="1" operator="equal">
      <formula>"INPUT STARTER IN COLUMN D"</formula>
    </cfRule>
  </conditionalFormatting>
  <conditionalFormatting sqref="P25">
    <cfRule type="cellIs" dxfId="5148" priority="3350" stopIfTrue="1" operator="equal">
      <formula>"INPUT STARTER IN COLUMN D"</formula>
    </cfRule>
  </conditionalFormatting>
  <conditionalFormatting sqref="P26">
    <cfRule type="cellIs" dxfId="5147" priority="3349" stopIfTrue="1" operator="equal">
      <formula>"INPUT STARTER IN COLUMN D"</formula>
    </cfRule>
  </conditionalFormatting>
  <conditionalFormatting sqref="P28">
    <cfRule type="cellIs" dxfId="5146" priority="3348" stopIfTrue="1" operator="equal">
      <formula>"INPUT STARTER IN COLUMN D"</formula>
    </cfRule>
  </conditionalFormatting>
  <conditionalFormatting sqref="P29">
    <cfRule type="cellIs" dxfId="5145" priority="3347" stopIfTrue="1" operator="equal">
      <formula>"INPUT STARTER IN COLUMN D"</formula>
    </cfRule>
  </conditionalFormatting>
  <conditionalFormatting sqref="P30">
    <cfRule type="cellIs" dxfId="5144" priority="3346" stopIfTrue="1" operator="equal">
      <formula>"INPUT STARTER IN COLUMN D"</formula>
    </cfRule>
  </conditionalFormatting>
  <conditionalFormatting sqref="P31">
    <cfRule type="cellIs" dxfId="5143" priority="3345" stopIfTrue="1" operator="equal">
      <formula>"INPUT STARTER IN COLUMN D"</formula>
    </cfRule>
  </conditionalFormatting>
  <conditionalFormatting sqref="P33">
    <cfRule type="cellIs" dxfId="5142" priority="3344" stopIfTrue="1" operator="equal">
      <formula>"INPUT STARTER IN COLUMN D"</formula>
    </cfRule>
  </conditionalFormatting>
  <conditionalFormatting sqref="P34">
    <cfRule type="cellIs" dxfId="5141" priority="3343" stopIfTrue="1" operator="equal">
      <formula>"INPUT STARTER IN COLUMN D"</formula>
    </cfRule>
  </conditionalFormatting>
  <conditionalFormatting sqref="P35">
    <cfRule type="cellIs" dxfId="5140" priority="3342" stopIfTrue="1" operator="equal">
      <formula>"INPUT STARTER IN COLUMN D"</formula>
    </cfRule>
  </conditionalFormatting>
  <conditionalFormatting sqref="P36">
    <cfRule type="cellIs" dxfId="5139" priority="3341" stopIfTrue="1" operator="equal">
      <formula>"INPUT STARTER IN COLUMN D"</formula>
    </cfRule>
  </conditionalFormatting>
  <conditionalFormatting sqref="P37">
    <cfRule type="cellIs" dxfId="5138" priority="3340" stopIfTrue="1" operator="equal">
      <formula>"INPUT STARTER IN COLUMN D"</formula>
    </cfRule>
  </conditionalFormatting>
  <conditionalFormatting sqref="P38">
    <cfRule type="cellIs" dxfId="5137" priority="3339" stopIfTrue="1" operator="equal">
      <formula>"INPUT STARTER IN COLUMN D"</formula>
    </cfRule>
  </conditionalFormatting>
  <conditionalFormatting sqref="P39">
    <cfRule type="cellIs" dxfId="5136" priority="3338" stopIfTrue="1" operator="equal">
      <formula>"INPUT STARTER IN COLUMN D"</formula>
    </cfRule>
  </conditionalFormatting>
  <conditionalFormatting sqref="P40">
    <cfRule type="cellIs" dxfId="5135" priority="3337" stopIfTrue="1" operator="equal">
      <formula>"INPUT STARTER IN COLUMN D"</formula>
    </cfRule>
  </conditionalFormatting>
  <conditionalFormatting sqref="P42">
    <cfRule type="cellIs" dxfId="5134" priority="3336" stopIfTrue="1" operator="equal">
      <formula>"INPUT STARTER IN COLUMN D"</formula>
    </cfRule>
  </conditionalFormatting>
  <conditionalFormatting sqref="P43">
    <cfRule type="cellIs" dxfId="5133" priority="3335" stopIfTrue="1" operator="equal">
      <formula>"INPUT STARTER IN COLUMN D"</formula>
    </cfRule>
  </conditionalFormatting>
  <conditionalFormatting sqref="P44">
    <cfRule type="cellIs" dxfId="5132" priority="3334" stopIfTrue="1" operator="equal">
      <formula>"INPUT STARTER IN COLUMN D"</formula>
    </cfRule>
  </conditionalFormatting>
  <conditionalFormatting sqref="P45">
    <cfRule type="cellIs" dxfId="5131" priority="3333" stopIfTrue="1" operator="equal">
      <formula>"INPUT STARTER IN COLUMN D"</formula>
    </cfRule>
  </conditionalFormatting>
  <conditionalFormatting sqref="P46">
    <cfRule type="cellIs" dxfId="5130" priority="3332" stopIfTrue="1" operator="equal">
      <formula>"INPUT STARTER IN COLUMN D"</formula>
    </cfRule>
  </conditionalFormatting>
  <conditionalFormatting sqref="P47">
    <cfRule type="cellIs" dxfId="5129" priority="3331" stopIfTrue="1" operator="equal">
      <formula>"INPUT STARTER IN COLUMN D"</formula>
    </cfRule>
  </conditionalFormatting>
  <conditionalFormatting sqref="P49">
    <cfRule type="cellIs" dxfId="5128" priority="3330" stopIfTrue="1" operator="equal">
      <formula>"INPUT STARTER IN COLUMN D"</formula>
    </cfRule>
  </conditionalFormatting>
  <conditionalFormatting sqref="P50">
    <cfRule type="cellIs" dxfId="5127" priority="3329" stopIfTrue="1" operator="equal">
      <formula>"INPUT STARTER IN COLUMN D"</formula>
    </cfRule>
  </conditionalFormatting>
  <conditionalFormatting sqref="P51">
    <cfRule type="cellIs" dxfId="5126" priority="3328" stopIfTrue="1" operator="equal">
      <formula>"INPUT STARTER IN COLUMN D"</formula>
    </cfRule>
  </conditionalFormatting>
  <conditionalFormatting sqref="P52">
    <cfRule type="cellIs" dxfId="5125" priority="3327" stopIfTrue="1" operator="equal">
      <formula>"INPUT STARTER IN COLUMN D"</formula>
    </cfRule>
  </conditionalFormatting>
  <conditionalFormatting sqref="P53">
    <cfRule type="cellIs" dxfId="5124" priority="3326" stopIfTrue="1" operator="equal">
      <formula>"INPUT STARTER IN COLUMN D"</formula>
    </cfRule>
  </conditionalFormatting>
  <conditionalFormatting sqref="P54">
    <cfRule type="cellIs" dxfId="5123" priority="3325" stopIfTrue="1" operator="equal">
      <formula>"INPUT STARTER IN COLUMN D"</formula>
    </cfRule>
  </conditionalFormatting>
  <conditionalFormatting sqref="P56">
    <cfRule type="cellIs" dxfId="5122" priority="3324" stopIfTrue="1" operator="equal">
      <formula>"INPUT STARTER IN COLUMN D"</formula>
    </cfRule>
  </conditionalFormatting>
  <conditionalFormatting sqref="P57">
    <cfRule type="cellIs" dxfId="5121" priority="3323" stopIfTrue="1" operator="equal">
      <formula>"INPUT STARTER IN COLUMN D"</formula>
    </cfRule>
  </conditionalFormatting>
  <conditionalFormatting sqref="P58">
    <cfRule type="cellIs" dxfId="5120" priority="3322" stopIfTrue="1" operator="equal">
      <formula>"INPUT STARTER IN COLUMN D"</formula>
    </cfRule>
  </conditionalFormatting>
  <conditionalFormatting sqref="P59">
    <cfRule type="cellIs" dxfId="5119" priority="3321" stopIfTrue="1" operator="equal">
      <formula>"INPUT STARTER IN COLUMN D"</formula>
    </cfRule>
  </conditionalFormatting>
  <conditionalFormatting sqref="P60">
    <cfRule type="cellIs" dxfId="5118" priority="3320" stopIfTrue="1" operator="equal">
      <formula>"INPUT STARTER IN COLUMN D"</formula>
    </cfRule>
  </conditionalFormatting>
  <conditionalFormatting sqref="P61">
    <cfRule type="cellIs" dxfId="5117" priority="3319" stopIfTrue="1" operator="equal">
      <formula>"INPUT STARTER IN COLUMN D"</formula>
    </cfRule>
  </conditionalFormatting>
  <conditionalFormatting sqref="P63">
    <cfRule type="cellIs" dxfId="5116" priority="3318" stopIfTrue="1" operator="equal">
      <formula>"INPUT STARTER IN COLUMN D"</formula>
    </cfRule>
  </conditionalFormatting>
  <conditionalFormatting sqref="P64">
    <cfRule type="cellIs" dxfId="5115" priority="3317" stopIfTrue="1" operator="equal">
      <formula>"INPUT STARTER IN COLUMN D"</formula>
    </cfRule>
  </conditionalFormatting>
  <conditionalFormatting sqref="P65">
    <cfRule type="cellIs" dxfId="5114" priority="3316" stopIfTrue="1" operator="equal">
      <formula>"INPUT STARTER IN COLUMN D"</formula>
    </cfRule>
  </conditionalFormatting>
  <conditionalFormatting sqref="P66">
    <cfRule type="cellIs" dxfId="5113" priority="3315" stopIfTrue="1" operator="equal">
      <formula>"INPUT STARTER IN COLUMN D"</formula>
    </cfRule>
  </conditionalFormatting>
  <conditionalFormatting sqref="P67">
    <cfRule type="cellIs" dxfId="5112" priority="3314" stopIfTrue="1" operator="equal">
      <formula>"INPUT STARTER IN COLUMN D"</formula>
    </cfRule>
  </conditionalFormatting>
  <conditionalFormatting sqref="P68">
    <cfRule type="cellIs" dxfId="5111" priority="3313" stopIfTrue="1" operator="equal">
      <formula>"INPUT STARTER IN COLUMN D"</formula>
    </cfRule>
  </conditionalFormatting>
  <conditionalFormatting sqref="P69">
    <cfRule type="cellIs" dxfId="5110" priority="3312" stopIfTrue="1" operator="equal">
      <formula>"INPUT STARTER IN COLUMN D"</formula>
    </cfRule>
  </conditionalFormatting>
  <conditionalFormatting sqref="P71">
    <cfRule type="cellIs" dxfId="5109" priority="3311" stopIfTrue="1" operator="equal">
      <formula>"INPUT STARTER IN COLUMN D"</formula>
    </cfRule>
  </conditionalFormatting>
  <conditionalFormatting sqref="P72">
    <cfRule type="cellIs" dxfId="5108" priority="3310" stopIfTrue="1" operator="equal">
      <formula>"INPUT STARTER IN COLUMN D"</formula>
    </cfRule>
  </conditionalFormatting>
  <conditionalFormatting sqref="P73">
    <cfRule type="cellIs" dxfId="5107" priority="3309" stopIfTrue="1" operator="equal">
      <formula>"INPUT STARTER IN COLUMN D"</formula>
    </cfRule>
  </conditionalFormatting>
  <conditionalFormatting sqref="P74">
    <cfRule type="cellIs" dxfId="5106" priority="3308" stopIfTrue="1" operator="equal">
      <formula>"INPUT STARTER IN COLUMN D"</formula>
    </cfRule>
  </conditionalFormatting>
  <conditionalFormatting sqref="P75">
    <cfRule type="cellIs" dxfId="5105" priority="3307" stopIfTrue="1" operator="equal">
      <formula>"INPUT STARTER IN COLUMN D"</formula>
    </cfRule>
  </conditionalFormatting>
  <conditionalFormatting sqref="P76">
    <cfRule type="cellIs" dxfId="5104" priority="3306" stopIfTrue="1" operator="equal">
      <formula>"INPUT STARTER IN COLUMN D"</formula>
    </cfRule>
  </conditionalFormatting>
  <conditionalFormatting sqref="P77">
    <cfRule type="cellIs" dxfId="5103" priority="3305" stopIfTrue="1" operator="equal">
      <formula>"INPUT STARTER IN COLUMN D"</formula>
    </cfRule>
  </conditionalFormatting>
  <conditionalFormatting sqref="P78">
    <cfRule type="cellIs" dxfId="5102" priority="3304" stopIfTrue="1" operator="equal">
      <formula>"INPUT STARTER IN COLUMN D"</formula>
    </cfRule>
  </conditionalFormatting>
  <conditionalFormatting sqref="P79">
    <cfRule type="cellIs" dxfId="5101" priority="3303" stopIfTrue="1" operator="equal">
      <formula>"INPUT STARTER IN COLUMN D"</formula>
    </cfRule>
  </conditionalFormatting>
  <conditionalFormatting sqref="P80">
    <cfRule type="cellIs" dxfId="5100" priority="3302" stopIfTrue="1" operator="equal">
      <formula>"INPUT STARTER IN COLUMN D"</formula>
    </cfRule>
  </conditionalFormatting>
  <conditionalFormatting sqref="P81">
    <cfRule type="cellIs" dxfId="5099" priority="3301" stopIfTrue="1" operator="equal">
      <formula>"INPUT STARTER IN COLUMN D"</formula>
    </cfRule>
  </conditionalFormatting>
  <conditionalFormatting sqref="P82">
    <cfRule type="cellIs" dxfId="5098" priority="3300" stopIfTrue="1" operator="equal">
      <formula>"INPUT STARTER IN COLUMN D"</formula>
    </cfRule>
  </conditionalFormatting>
  <conditionalFormatting sqref="P84">
    <cfRule type="cellIs" dxfId="5097" priority="3299" stopIfTrue="1" operator="equal">
      <formula>"INPUT STARTER IN COLUMN D"</formula>
    </cfRule>
  </conditionalFormatting>
  <conditionalFormatting sqref="P85">
    <cfRule type="cellIs" dxfId="5096" priority="3298" stopIfTrue="1" operator="equal">
      <formula>"INPUT STARTER IN COLUMN D"</formula>
    </cfRule>
  </conditionalFormatting>
  <conditionalFormatting sqref="P86">
    <cfRule type="cellIs" dxfId="5095" priority="3297" stopIfTrue="1" operator="equal">
      <formula>"INPUT STARTER IN COLUMN D"</formula>
    </cfRule>
  </conditionalFormatting>
  <conditionalFormatting sqref="P87">
    <cfRule type="cellIs" dxfId="5094" priority="3296" stopIfTrue="1" operator="equal">
      <formula>"INPUT STARTER IN COLUMN D"</formula>
    </cfRule>
  </conditionalFormatting>
  <conditionalFormatting sqref="P88">
    <cfRule type="cellIs" dxfId="5093" priority="3295" stopIfTrue="1" operator="equal">
      <formula>"INPUT STARTER IN COLUMN D"</formula>
    </cfRule>
  </conditionalFormatting>
  <conditionalFormatting sqref="P89">
    <cfRule type="cellIs" dxfId="5092" priority="3294" stopIfTrue="1" operator="equal">
      <formula>"INPUT STARTER IN COLUMN D"</formula>
    </cfRule>
  </conditionalFormatting>
  <conditionalFormatting sqref="P91">
    <cfRule type="cellIs" dxfId="5091" priority="3293" stopIfTrue="1" operator="equal">
      <formula>"INPUT STARTER IN COLUMN D"</formula>
    </cfRule>
  </conditionalFormatting>
  <conditionalFormatting sqref="P92">
    <cfRule type="cellIs" dxfId="5090" priority="3292" stopIfTrue="1" operator="equal">
      <formula>"INPUT STARTER IN COLUMN D"</formula>
    </cfRule>
  </conditionalFormatting>
  <conditionalFormatting sqref="P93">
    <cfRule type="cellIs" dxfId="5089" priority="3291" stopIfTrue="1" operator="equal">
      <formula>"INPUT STARTER IN COLUMN D"</formula>
    </cfRule>
  </conditionalFormatting>
  <conditionalFormatting sqref="P94">
    <cfRule type="cellIs" dxfId="5088" priority="3290" stopIfTrue="1" operator="equal">
      <formula>"INPUT STARTER IN COLUMN D"</formula>
    </cfRule>
  </conditionalFormatting>
  <conditionalFormatting sqref="P95">
    <cfRule type="cellIs" dxfId="5087" priority="3289" stopIfTrue="1" operator="equal">
      <formula>"INPUT STARTER IN COLUMN D"</formula>
    </cfRule>
  </conditionalFormatting>
  <conditionalFormatting sqref="P96">
    <cfRule type="cellIs" dxfId="5086" priority="3288" stopIfTrue="1" operator="equal">
      <formula>"INPUT STARTER IN COLUMN D"</formula>
    </cfRule>
  </conditionalFormatting>
  <conditionalFormatting sqref="P97">
    <cfRule type="cellIs" dxfId="5085" priority="3287" stopIfTrue="1" operator="equal">
      <formula>"INPUT STARTER IN COLUMN D"</formula>
    </cfRule>
  </conditionalFormatting>
  <conditionalFormatting sqref="P98">
    <cfRule type="cellIs" dxfId="5084" priority="3286" stopIfTrue="1" operator="equal">
      <formula>"INPUT STARTER IN COLUMN D"</formula>
    </cfRule>
  </conditionalFormatting>
  <conditionalFormatting sqref="P99">
    <cfRule type="cellIs" dxfId="5083" priority="3285" stopIfTrue="1" operator="equal">
      <formula>"INPUT STARTER IN COLUMN D"</formula>
    </cfRule>
  </conditionalFormatting>
  <conditionalFormatting sqref="P100">
    <cfRule type="cellIs" dxfId="5082" priority="3284" stopIfTrue="1" operator="equal">
      <formula>"INPUT STARTER IN COLUMN D"</formula>
    </cfRule>
  </conditionalFormatting>
  <conditionalFormatting sqref="P101">
    <cfRule type="cellIs" dxfId="5081" priority="3283" stopIfTrue="1" operator="equal">
      <formula>"INPUT STARTER IN COLUMN D"</formula>
    </cfRule>
  </conditionalFormatting>
  <conditionalFormatting sqref="P102">
    <cfRule type="cellIs" dxfId="5080" priority="3282" stopIfTrue="1" operator="equal">
      <formula>"INPUT STARTER IN COLUMN D"</formula>
    </cfRule>
  </conditionalFormatting>
  <conditionalFormatting sqref="P106">
    <cfRule type="cellIs" dxfId="5079" priority="3281" stopIfTrue="1" operator="equal">
      <formula>"INPUT STARTER IN COLUMN D"</formula>
    </cfRule>
  </conditionalFormatting>
  <conditionalFormatting sqref="P107">
    <cfRule type="cellIs" dxfId="5078" priority="3280" stopIfTrue="1" operator="equal">
      <formula>"INPUT STARTER IN COLUMN D"</formula>
    </cfRule>
  </conditionalFormatting>
  <conditionalFormatting sqref="P108">
    <cfRule type="cellIs" dxfId="5077" priority="3279" stopIfTrue="1" operator="equal">
      <formula>"INPUT STARTER IN COLUMN D"</formula>
    </cfRule>
  </conditionalFormatting>
  <conditionalFormatting sqref="P109">
    <cfRule type="cellIs" dxfId="5076" priority="3278" stopIfTrue="1" operator="equal">
      <formula>"INPUT STARTER IN COLUMN D"</formula>
    </cfRule>
  </conditionalFormatting>
  <conditionalFormatting sqref="P110">
    <cfRule type="cellIs" dxfId="5075" priority="3277" stopIfTrue="1" operator="equal">
      <formula>"INPUT STARTER IN COLUMN D"</formula>
    </cfRule>
  </conditionalFormatting>
  <conditionalFormatting sqref="P111">
    <cfRule type="cellIs" dxfId="5074" priority="3276" stopIfTrue="1" operator="equal">
      <formula>"INPUT STARTER IN COLUMN D"</formula>
    </cfRule>
  </conditionalFormatting>
  <conditionalFormatting sqref="P112">
    <cfRule type="cellIs" dxfId="5073" priority="3275" stopIfTrue="1" operator="equal">
      <formula>"INPUT STARTER IN COLUMN D"</formula>
    </cfRule>
  </conditionalFormatting>
  <conditionalFormatting sqref="P113">
    <cfRule type="cellIs" dxfId="5072" priority="3274" stopIfTrue="1" operator="equal">
      <formula>"INPUT STARTER IN COLUMN D"</formula>
    </cfRule>
  </conditionalFormatting>
  <conditionalFormatting sqref="P114">
    <cfRule type="cellIs" dxfId="5071" priority="3273" stopIfTrue="1" operator="equal">
      <formula>"INPUT STARTER IN COLUMN D"</formula>
    </cfRule>
  </conditionalFormatting>
  <conditionalFormatting sqref="P115">
    <cfRule type="cellIs" dxfId="5070" priority="3272" stopIfTrue="1" operator="equal">
      <formula>"INPUT STARTER IN COLUMN D"</formula>
    </cfRule>
  </conditionalFormatting>
  <conditionalFormatting sqref="P116">
    <cfRule type="cellIs" dxfId="5069" priority="3271" stopIfTrue="1" operator="equal">
      <formula>"INPUT STARTER IN COLUMN D"</formula>
    </cfRule>
  </conditionalFormatting>
  <conditionalFormatting sqref="P117">
    <cfRule type="cellIs" dxfId="5068" priority="3270" stopIfTrue="1" operator="equal">
      <formula>"INPUT STARTER IN COLUMN D"</formula>
    </cfRule>
  </conditionalFormatting>
  <conditionalFormatting sqref="P118">
    <cfRule type="cellIs" dxfId="5067" priority="3269" stopIfTrue="1" operator="equal">
      <formula>"INPUT STARTER IN COLUMN D"</formula>
    </cfRule>
  </conditionalFormatting>
  <conditionalFormatting sqref="P119">
    <cfRule type="cellIs" dxfId="5066" priority="3268" stopIfTrue="1" operator="equal">
      <formula>"INPUT STARTER IN COLUMN D"</formula>
    </cfRule>
  </conditionalFormatting>
  <conditionalFormatting sqref="P120">
    <cfRule type="cellIs" dxfId="5065" priority="3267" stopIfTrue="1" operator="equal">
      <formula>"INPUT STARTER IN COLUMN D"</formula>
    </cfRule>
  </conditionalFormatting>
  <conditionalFormatting sqref="P121">
    <cfRule type="cellIs" dxfId="5064" priority="3266" stopIfTrue="1" operator="equal">
      <formula>"INPUT STARTER IN COLUMN D"</formula>
    </cfRule>
  </conditionalFormatting>
  <conditionalFormatting sqref="P122">
    <cfRule type="cellIs" dxfId="5063" priority="3265" stopIfTrue="1" operator="equal">
      <formula>"INPUT STARTER IN COLUMN D"</formula>
    </cfRule>
  </conditionalFormatting>
  <conditionalFormatting sqref="P123">
    <cfRule type="cellIs" dxfId="5062" priority="3264" stopIfTrue="1" operator="equal">
      <formula>"INPUT STARTER IN COLUMN D"</formula>
    </cfRule>
  </conditionalFormatting>
  <conditionalFormatting sqref="P125">
    <cfRule type="cellIs" dxfId="5061" priority="3263" stopIfTrue="1" operator="equal">
      <formula>"INPUT STARTER IN COLUMN D"</formula>
    </cfRule>
  </conditionalFormatting>
  <conditionalFormatting sqref="P126">
    <cfRule type="cellIs" dxfId="5060" priority="3262" stopIfTrue="1" operator="equal">
      <formula>"INPUT STARTER IN COLUMN D"</formula>
    </cfRule>
  </conditionalFormatting>
  <conditionalFormatting sqref="P127">
    <cfRule type="cellIs" dxfId="5059" priority="3261" stopIfTrue="1" operator="equal">
      <formula>"INPUT STARTER IN COLUMN D"</formula>
    </cfRule>
  </conditionalFormatting>
  <conditionalFormatting sqref="P128">
    <cfRule type="cellIs" dxfId="5058" priority="3260" stopIfTrue="1" operator="equal">
      <formula>"INPUT STARTER IN COLUMN D"</formula>
    </cfRule>
  </conditionalFormatting>
  <conditionalFormatting sqref="P129">
    <cfRule type="cellIs" dxfId="5057" priority="3259" stopIfTrue="1" operator="equal">
      <formula>"INPUT STARTER IN COLUMN D"</formula>
    </cfRule>
  </conditionalFormatting>
  <conditionalFormatting sqref="P130">
    <cfRule type="cellIs" dxfId="5056" priority="3258" stopIfTrue="1" operator="equal">
      <formula>"INPUT STARTER IN COLUMN D"</formula>
    </cfRule>
  </conditionalFormatting>
  <conditionalFormatting sqref="P131">
    <cfRule type="cellIs" dxfId="5055" priority="3257" stopIfTrue="1" operator="equal">
      <formula>"INPUT STARTER IN COLUMN D"</formula>
    </cfRule>
  </conditionalFormatting>
  <conditionalFormatting sqref="P132">
    <cfRule type="cellIs" dxfId="5054" priority="3256" stopIfTrue="1" operator="equal">
      <formula>"INPUT STARTER IN COLUMN D"</formula>
    </cfRule>
  </conditionalFormatting>
  <conditionalFormatting sqref="P133">
    <cfRule type="cellIs" dxfId="5053" priority="3255" stopIfTrue="1" operator="equal">
      <formula>"INPUT STARTER IN COLUMN D"</formula>
    </cfRule>
  </conditionalFormatting>
  <conditionalFormatting sqref="P134">
    <cfRule type="cellIs" dxfId="5052" priority="3254" stopIfTrue="1" operator="equal">
      <formula>"INPUT STARTER IN COLUMN D"</formula>
    </cfRule>
  </conditionalFormatting>
  <conditionalFormatting sqref="P135">
    <cfRule type="cellIs" dxfId="5051" priority="3253" stopIfTrue="1" operator="equal">
      <formula>"INPUT STARTER IN COLUMN D"</formula>
    </cfRule>
  </conditionalFormatting>
  <conditionalFormatting sqref="P136">
    <cfRule type="cellIs" dxfId="5050" priority="3252" stopIfTrue="1" operator="equal">
      <formula>"INPUT STARTER IN COLUMN D"</formula>
    </cfRule>
  </conditionalFormatting>
  <conditionalFormatting sqref="P137">
    <cfRule type="cellIs" dxfId="5049" priority="3251" stopIfTrue="1" operator="equal">
      <formula>"INPUT STARTER IN COLUMN D"</formula>
    </cfRule>
  </conditionalFormatting>
  <conditionalFormatting sqref="P139">
    <cfRule type="cellIs" dxfId="5048" priority="3250" stopIfTrue="1" operator="equal">
      <formula>"INPUT STARTER IN COLUMN D"</formula>
    </cfRule>
  </conditionalFormatting>
  <conditionalFormatting sqref="P140">
    <cfRule type="cellIs" dxfId="5047" priority="3249" stopIfTrue="1" operator="equal">
      <formula>"INPUT STARTER IN COLUMN D"</formula>
    </cfRule>
  </conditionalFormatting>
  <conditionalFormatting sqref="P141">
    <cfRule type="cellIs" dxfId="5046" priority="3248" stopIfTrue="1" operator="equal">
      <formula>"INPUT STARTER IN COLUMN D"</formula>
    </cfRule>
  </conditionalFormatting>
  <conditionalFormatting sqref="P142">
    <cfRule type="cellIs" dxfId="5045" priority="3247" stopIfTrue="1" operator="equal">
      <formula>"INPUT STARTER IN COLUMN D"</formula>
    </cfRule>
  </conditionalFormatting>
  <conditionalFormatting sqref="P143">
    <cfRule type="cellIs" dxfId="5044" priority="3246" stopIfTrue="1" operator="equal">
      <formula>"INPUT STARTER IN COLUMN D"</formula>
    </cfRule>
  </conditionalFormatting>
  <conditionalFormatting sqref="P144">
    <cfRule type="cellIs" dxfId="5043" priority="3245" stopIfTrue="1" operator="equal">
      <formula>"INPUT STARTER IN COLUMN D"</formula>
    </cfRule>
  </conditionalFormatting>
  <conditionalFormatting sqref="P145">
    <cfRule type="cellIs" dxfId="5042" priority="3244" stopIfTrue="1" operator="equal">
      <formula>"INPUT STARTER IN COLUMN D"</formula>
    </cfRule>
  </conditionalFormatting>
  <conditionalFormatting sqref="P146">
    <cfRule type="cellIs" dxfId="5041" priority="3243" stopIfTrue="1" operator="equal">
      <formula>"INPUT STARTER IN COLUMN D"</formula>
    </cfRule>
  </conditionalFormatting>
  <conditionalFormatting sqref="P147">
    <cfRule type="cellIs" dxfId="5040" priority="3242" stopIfTrue="1" operator="equal">
      <formula>"INPUT STARTER IN COLUMN D"</formula>
    </cfRule>
  </conditionalFormatting>
  <conditionalFormatting sqref="P148">
    <cfRule type="cellIs" dxfId="5039" priority="3241" stopIfTrue="1" operator="equal">
      <formula>"INPUT STARTER IN COLUMN D"</formula>
    </cfRule>
  </conditionalFormatting>
  <conditionalFormatting sqref="P149">
    <cfRule type="cellIs" dxfId="5038" priority="3240" stopIfTrue="1" operator="equal">
      <formula>"INPUT STARTER IN COLUMN D"</formula>
    </cfRule>
  </conditionalFormatting>
  <conditionalFormatting sqref="P150">
    <cfRule type="cellIs" dxfId="5037" priority="3239" stopIfTrue="1" operator="equal">
      <formula>"INPUT STARTER IN COLUMN D"</formula>
    </cfRule>
  </conditionalFormatting>
  <conditionalFormatting sqref="P151">
    <cfRule type="cellIs" dxfId="5036" priority="3238" stopIfTrue="1" operator="equal">
      <formula>"INPUT STARTER IN COLUMN D"</formula>
    </cfRule>
  </conditionalFormatting>
  <conditionalFormatting sqref="P152">
    <cfRule type="cellIs" dxfId="5035" priority="3237" stopIfTrue="1" operator="equal">
      <formula>"INPUT STARTER IN COLUMN D"</formula>
    </cfRule>
  </conditionalFormatting>
  <conditionalFormatting sqref="P153">
    <cfRule type="cellIs" dxfId="5034" priority="3236" stopIfTrue="1" operator="equal">
      <formula>"INPUT STARTER IN COLUMN D"</formula>
    </cfRule>
  </conditionalFormatting>
  <conditionalFormatting sqref="P154">
    <cfRule type="cellIs" dxfId="5033" priority="3235" stopIfTrue="1" operator="equal">
      <formula>"INPUT STARTER IN COLUMN D"</formula>
    </cfRule>
  </conditionalFormatting>
  <conditionalFormatting sqref="P155">
    <cfRule type="cellIs" dxfId="5032" priority="3234" stopIfTrue="1" operator="equal">
      <formula>"INPUT STARTER IN COLUMN D"</formula>
    </cfRule>
  </conditionalFormatting>
  <conditionalFormatting sqref="P157">
    <cfRule type="cellIs" dxfId="5031" priority="3233" stopIfTrue="1" operator="equal">
      <formula>"INPUT STARTER IN COLUMN D"</formula>
    </cfRule>
  </conditionalFormatting>
  <conditionalFormatting sqref="P158">
    <cfRule type="cellIs" dxfId="5030" priority="3232" stopIfTrue="1" operator="equal">
      <formula>"INPUT STARTER IN COLUMN D"</formula>
    </cfRule>
  </conditionalFormatting>
  <conditionalFormatting sqref="P159">
    <cfRule type="cellIs" dxfId="5029" priority="3231" stopIfTrue="1" operator="equal">
      <formula>"INPUT STARTER IN COLUMN D"</formula>
    </cfRule>
  </conditionalFormatting>
  <conditionalFormatting sqref="P160">
    <cfRule type="cellIs" dxfId="5028" priority="3230" stopIfTrue="1" operator="equal">
      <formula>"INPUT STARTER IN COLUMN D"</formula>
    </cfRule>
  </conditionalFormatting>
  <conditionalFormatting sqref="P161">
    <cfRule type="cellIs" dxfId="5027" priority="3229" stopIfTrue="1" operator="equal">
      <formula>"INPUT STARTER IN COLUMN D"</formula>
    </cfRule>
  </conditionalFormatting>
  <conditionalFormatting sqref="P162">
    <cfRule type="cellIs" dxfId="5026" priority="3228" stopIfTrue="1" operator="equal">
      <formula>"INPUT STARTER IN COLUMN D"</formula>
    </cfRule>
  </conditionalFormatting>
  <conditionalFormatting sqref="P163">
    <cfRule type="cellIs" dxfId="5025" priority="3227" stopIfTrue="1" operator="equal">
      <formula>"INPUT STARTER IN COLUMN D"</formula>
    </cfRule>
  </conditionalFormatting>
  <conditionalFormatting sqref="P165">
    <cfRule type="cellIs" dxfId="5024" priority="3226" stopIfTrue="1" operator="equal">
      <formula>"INPUT STARTER IN COLUMN D"</formula>
    </cfRule>
  </conditionalFormatting>
  <conditionalFormatting sqref="P166">
    <cfRule type="cellIs" dxfId="5023" priority="3225" stopIfTrue="1" operator="equal">
      <formula>"INPUT STARTER IN COLUMN D"</formula>
    </cfRule>
  </conditionalFormatting>
  <conditionalFormatting sqref="P167">
    <cfRule type="cellIs" dxfId="5022" priority="3224" stopIfTrue="1" operator="equal">
      <formula>"INPUT STARTER IN COLUMN D"</formula>
    </cfRule>
  </conditionalFormatting>
  <conditionalFormatting sqref="P168">
    <cfRule type="cellIs" dxfId="5021" priority="3223" stopIfTrue="1" operator="equal">
      <formula>"INPUT STARTER IN COLUMN D"</formula>
    </cfRule>
  </conditionalFormatting>
  <conditionalFormatting sqref="P169">
    <cfRule type="cellIs" dxfId="5020" priority="3222" stopIfTrue="1" operator="equal">
      <formula>"INPUT STARTER IN COLUMN D"</formula>
    </cfRule>
  </conditionalFormatting>
  <conditionalFormatting sqref="P170">
    <cfRule type="cellIs" dxfId="5019" priority="3221" stopIfTrue="1" operator="equal">
      <formula>"INPUT STARTER IN COLUMN D"</formula>
    </cfRule>
  </conditionalFormatting>
  <conditionalFormatting sqref="P171">
    <cfRule type="cellIs" dxfId="5018" priority="3220" stopIfTrue="1" operator="equal">
      <formula>"INPUT STARTER IN COLUMN D"</formula>
    </cfRule>
  </conditionalFormatting>
  <conditionalFormatting sqref="P172">
    <cfRule type="cellIs" dxfId="5017" priority="3219" stopIfTrue="1" operator="equal">
      <formula>"INPUT STARTER IN COLUMN D"</formula>
    </cfRule>
  </conditionalFormatting>
  <conditionalFormatting sqref="P173">
    <cfRule type="cellIs" dxfId="5016" priority="3218" stopIfTrue="1" operator="equal">
      <formula>"INPUT STARTER IN COLUMN D"</formula>
    </cfRule>
  </conditionalFormatting>
  <conditionalFormatting sqref="P174">
    <cfRule type="cellIs" dxfId="5015" priority="3217" stopIfTrue="1" operator="equal">
      <formula>"INPUT STARTER IN COLUMN D"</formula>
    </cfRule>
  </conditionalFormatting>
  <conditionalFormatting sqref="P176">
    <cfRule type="cellIs" dxfId="5014" priority="3216" stopIfTrue="1" operator="equal">
      <formula>"INPUT STARTER IN COLUMN D"</formula>
    </cfRule>
  </conditionalFormatting>
  <conditionalFormatting sqref="P177">
    <cfRule type="cellIs" dxfId="5013" priority="3215" stopIfTrue="1" operator="equal">
      <formula>"INPUT STARTER IN COLUMN D"</formula>
    </cfRule>
  </conditionalFormatting>
  <conditionalFormatting sqref="P178">
    <cfRule type="cellIs" dxfId="5012" priority="3214" stopIfTrue="1" operator="equal">
      <formula>"INPUT STARTER IN COLUMN D"</formula>
    </cfRule>
  </conditionalFormatting>
  <conditionalFormatting sqref="P179">
    <cfRule type="cellIs" dxfId="5011" priority="3213" stopIfTrue="1" operator="equal">
      <formula>"INPUT STARTER IN COLUMN D"</formula>
    </cfRule>
  </conditionalFormatting>
  <conditionalFormatting sqref="P180">
    <cfRule type="cellIs" dxfId="5010" priority="3212" stopIfTrue="1" operator="equal">
      <formula>"INPUT STARTER IN COLUMN D"</formula>
    </cfRule>
  </conditionalFormatting>
  <conditionalFormatting sqref="P181">
    <cfRule type="cellIs" dxfId="5009" priority="3211" stopIfTrue="1" operator="equal">
      <formula>"INPUT STARTER IN COLUMN D"</formula>
    </cfRule>
  </conditionalFormatting>
  <conditionalFormatting sqref="P182">
    <cfRule type="cellIs" dxfId="5008" priority="3210" stopIfTrue="1" operator="equal">
      <formula>"INPUT STARTER IN COLUMN D"</formula>
    </cfRule>
  </conditionalFormatting>
  <conditionalFormatting sqref="P183">
    <cfRule type="cellIs" dxfId="5007" priority="3209" stopIfTrue="1" operator="equal">
      <formula>"INPUT STARTER IN COLUMN D"</formula>
    </cfRule>
  </conditionalFormatting>
  <conditionalFormatting sqref="P184">
    <cfRule type="cellIs" dxfId="5006" priority="3208" stopIfTrue="1" operator="equal">
      <formula>"INPUT STARTER IN COLUMN D"</formula>
    </cfRule>
  </conditionalFormatting>
  <conditionalFormatting sqref="P185">
    <cfRule type="cellIs" dxfId="5005" priority="3207" stopIfTrue="1" operator="equal">
      <formula>"INPUT STARTER IN COLUMN D"</formula>
    </cfRule>
  </conditionalFormatting>
  <conditionalFormatting sqref="AK3:AK22">
    <cfRule type="cellIs" dxfId="5004" priority="3206" stopIfTrue="1" operator="equal">
      <formula>"must average at least 5 innings per start"</formula>
    </cfRule>
  </conditionalFormatting>
  <conditionalFormatting sqref="AK23">
    <cfRule type="cellIs" dxfId="5003" priority="3205" stopIfTrue="1" operator="equal">
      <formula>"must have 162 starts"</formula>
    </cfRule>
  </conditionalFormatting>
  <conditionalFormatting sqref="AH3:AH22">
    <cfRule type="cellIs" dxfId="5002" priority="3204" stopIfTrue="1" operator="equal">
      <formula>"must average at least 5 innings per start"</formula>
    </cfRule>
  </conditionalFormatting>
  <conditionalFormatting sqref="AH23">
    <cfRule type="cellIs" dxfId="5001" priority="3203" stopIfTrue="1" operator="equal">
      <formula>"must have 162 starts"</formula>
    </cfRule>
  </conditionalFormatting>
  <conditionalFormatting sqref="AG3:AG22">
    <cfRule type="cellIs" dxfId="5000" priority="3202" stopIfTrue="1" operator="equal">
      <formula>"must average at least 5 innings per start"</formula>
    </cfRule>
  </conditionalFormatting>
  <conditionalFormatting sqref="AG23">
    <cfRule type="cellIs" dxfId="4999" priority="3201" stopIfTrue="1" operator="equal">
      <formula>"must have 162 starts"</formula>
    </cfRule>
  </conditionalFormatting>
  <conditionalFormatting sqref="AG3:AG22">
    <cfRule type="cellIs" dxfId="4998" priority="3200" stopIfTrue="1" operator="equal">
      <formula>"must average at least 5 innings per start"</formula>
    </cfRule>
  </conditionalFormatting>
  <conditionalFormatting sqref="AG23">
    <cfRule type="cellIs" dxfId="4997" priority="3199" stopIfTrue="1" operator="equal">
      <formula>"must have 162 starts"</formula>
    </cfRule>
  </conditionalFormatting>
  <conditionalFormatting sqref="AK3:AK22">
    <cfRule type="cellIs" dxfId="4996" priority="3198" stopIfTrue="1" operator="equal">
      <formula>"must average at least 5 innings per start"</formula>
    </cfRule>
  </conditionalFormatting>
  <conditionalFormatting sqref="AK23">
    <cfRule type="cellIs" dxfId="4995" priority="3197" stopIfTrue="1" operator="equal">
      <formula>"must have 162 starts"</formula>
    </cfRule>
  </conditionalFormatting>
  <conditionalFormatting sqref="AK3:AK22">
    <cfRule type="cellIs" dxfId="4994" priority="3196" stopIfTrue="1" operator="equal">
      <formula>"must average at least 5 innings per start"</formula>
    </cfRule>
  </conditionalFormatting>
  <conditionalFormatting sqref="AK23">
    <cfRule type="cellIs" dxfId="4993" priority="3195" stopIfTrue="1" operator="equal">
      <formula>"must have 162 starts"</formula>
    </cfRule>
  </conditionalFormatting>
  <conditionalFormatting sqref="AK3:AK22">
    <cfRule type="cellIs" dxfId="4992" priority="3194" stopIfTrue="1" operator="equal">
      <formula>"must average at least 5 innings per start"</formula>
    </cfRule>
  </conditionalFormatting>
  <conditionalFormatting sqref="AK23">
    <cfRule type="cellIs" dxfId="4991" priority="3193" stopIfTrue="1" operator="equal">
      <formula>"must have 162 starts"</formula>
    </cfRule>
  </conditionalFormatting>
  <conditionalFormatting sqref="AK3:AK22">
    <cfRule type="cellIs" dxfId="4990" priority="3192" stopIfTrue="1" operator="equal">
      <formula>"must average at least 5 innings per start"</formula>
    </cfRule>
  </conditionalFormatting>
  <conditionalFormatting sqref="AK23">
    <cfRule type="cellIs" dxfId="4989" priority="3191" stopIfTrue="1" operator="equal">
      <formula>"must have 162 starts"</formula>
    </cfRule>
  </conditionalFormatting>
  <conditionalFormatting sqref="AK3:AK22">
    <cfRule type="cellIs" dxfId="4988" priority="3190" stopIfTrue="1" operator="equal">
      <formula>"must average at least 5 innings per start"</formula>
    </cfRule>
  </conditionalFormatting>
  <conditionalFormatting sqref="AK23">
    <cfRule type="cellIs" dxfId="4987" priority="3189" stopIfTrue="1" operator="equal">
      <formula>"must have 162 starts"</formula>
    </cfRule>
  </conditionalFormatting>
  <conditionalFormatting sqref="AK3:AK22">
    <cfRule type="cellIs" dxfId="4986" priority="3188" stopIfTrue="1" operator="equal">
      <formula>"must average at least 5 innings per start"</formula>
    </cfRule>
  </conditionalFormatting>
  <conditionalFormatting sqref="AK23">
    <cfRule type="cellIs" dxfId="4985" priority="3187" stopIfTrue="1" operator="equal">
      <formula>"must have 162 starts"</formula>
    </cfRule>
  </conditionalFormatting>
  <conditionalFormatting sqref="AK3:AK22">
    <cfRule type="cellIs" dxfId="4984" priority="3186" stopIfTrue="1" operator="equal">
      <formula>"must average at least 5 innings per start"</formula>
    </cfRule>
  </conditionalFormatting>
  <conditionalFormatting sqref="AK23">
    <cfRule type="cellIs" dxfId="4983" priority="3185" stopIfTrue="1" operator="equal">
      <formula>"must have 162 starts"</formula>
    </cfRule>
  </conditionalFormatting>
  <conditionalFormatting sqref="AH3:AH22">
    <cfRule type="cellIs" dxfId="4982" priority="3184" stopIfTrue="1" operator="equal">
      <formula>"must average at least 5 innings per start"</formula>
    </cfRule>
  </conditionalFormatting>
  <conditionalFormatting sqref="AH23">
    <cfRule type="cellIs" dxfId="4981" priority="3183" stopIfTrue="1" operator="equal">
      <formula>"must have 162 starts"</formula>
    </cfRule>
  </conditionalFormatting>
  <conditionalFormatting sqref="AG3:AG22">
    <cfRule type="cellIs" dxfId="4980" priority="3182" stopIfTrue="1" operator="equal">
      <formula>"must average at least 5 innings per start"</formula>
    </cfRule>
  </conditionalFormatting>
  <conditionalFormatting sqref="AG23">
    <cfRule type="cellIs" dxfId="4979" priority="3181" stopIfTrue="1" operator="equal">
      <formula>"must have 162 starts"</formula>
    </cfRule>
  </conditionalFormatting>
  <conditionalFormatting sqref="AK3:AK22">
    <cfRule type="cellIs" dxfId="4978" priority="3180" stopIfTrue="1" operator="equal">
      <formula>"must average at least 5 innings per start"</formula>
    </cfRule>
  </conditionalFormatting>
  <conditionalFormatting sqref="AK23">
    <cfRule type="cellIs" dxfId="4977" priority="3179" stopIfTrue="1" operator="equal">
      <formula>"must have 162 starts"</formula>
    </cfRule>
  </conditionalFormatting>
  <conditionalFormatting sqref="AK3:AK22">
    <cfRule type="cellIs" dxfId="4976" priority="3178" stopIfTrue="1" operator="equal">
      <formula>"must average at least 5 innings per start"</formula>
    </cfRule>
  </conditionalFormatting>
  <conditionalFormatting sqref="AK23">
    <cfRule type="cellIs" dxfId="4975" priority="3177" stopIfTrue="1" operator="equal">
      <formula>"must have 162 starts"</formula>
    </cfRule>
  </conditionalFormatting>
  <conditionalFormatting sqref="AK3:AK22">
    <cfRule type="cellIs" dxfId="4974" priority="3176" stopIfTrue="1" operator="equal">
      <formula>"must average at least 5 innings per start"</formula>
    </cfRule>
  </conditionalFormatting>
  <conditionalFormatting sqref="AK23">
    <cfRule type="cellIs" dxfId="4973" priority="3175" stopIfTrue="1" operator="equal">
      <formula>"must have 162 starts"</formula>
    </cfRule>
  </conditionalFormatting>
  <conditionalFormatting sqref="AK3:AK22">
    <cfRule type="cellIs" dxfId="4972" priority="3174" stopIfTrue="1" operator="equal">
      <formula>"must average at least 5 innings per start"</formula>
    </cfRule>
  </conditionalFormatting>
  <conditionalFormatting sqref="AK23">
    <cfRule type="cellIs" dxfId="4971" priority="3173" stopIfTrue="1" operator="equal">
      <formula>"must have 162 starts"</formula>
    </cfRule>
  </conditionalFormatting>
  <conditionalFormatting sqref="AK3:AK22">
    <cfRule type="cellIs" dxfId="4970" priority="3172" stopIfTrue="1" operator="equal">
      <formula>"must average at least 5 innings per start"</formula>
    </cfRule>
  </conditionalFormatting>
  <conditionalFormatting sqref="AK23">
    <cfRule type="cellIs" dxfId="4969" priority="3171" stopIfTrue="1" operator="equal">
      <formula>"must have 162 starts"</formula>
    </cfRule>
  </conditionalFormatting>
  <conditionalFormatting sqref="AK3:AK22">
    <cfRule type="cellIs" dxfId="4968" priority="3170" stopIfTrue="1" operator="equal">
      <formula>"must average at least 5 innings per start"</formula>
    </cfRule>
  </conditionalFormatting>
  <conditionalFormatting sqref="AK23">
    <cfRule type="cellIs" dxfId="4967" priority="3169" stopIfTrue="1" operator="equal">
      <formula>"must have 162 starts"</formula>
    </cfRule>
  </conditionalFormatting>
  <conditionalFormatting sqref="AK3:AK22">
    <cfRule type="cellIs" dxfId="4966" priority="3168" stopIfTrue="1" operator="equal">
      <formula>"must average at least 5 innings per start"</formula>
    </cfRule>
  </conditionalFormatting>
  <conditionalFormatting sqref="AK23">
    <cfRule type="cellIs" dxfId="4965" priority="3167" stopIfTrue="1" operator="equal">
      <formula>"must have 162 starts"</formula>
    </cfRule>
  </conditionalFormatting>
  <conditionalFormatting sqref="AK3:AK22">
    <cfRule type="cellIs" dxfId="4964" priority="3166" stopIfTrue="1" operator="equal">
      <formula>"must average at least 5 innings per start"</formula>
    </cfRule>
  </conditionalFormatting>
  <conditionalFormatting sqref="AK23">
    <cfRule type="cellIs" dxfId="4963" priority="3165" stopIfTrue="1" operator="equal">
      <formula>"must have 162 starts"</formula>
    </cfRule>
  </conditionalFormatting>
  <conditionalFormatting sqref="AG3:AG22">
    <cfRule type="cellIs" dxfId="4962" priority="3164" stopIfTrue="1" operator="equal">
      <formula>"must average at least 5 innings per start"</formula>
    </cfRule>
  </conditionalFormatting>
  <conditionalFormatting sqref="AG23">
    <cfRule type="cellIs" dxfId="4961" priority="3163" stopIfTrue="1" operator="equal">
      <formula>"must have 162 starts"</formula>
    </cfRule>
  </conditionalFormatting>
  <conditionalFormatting sqref="AK3:AK22">
    <cfRule type="cellIs" dxfId="4960" priority="3162" stopIfTrue="1" operator="equal">
      <formula>"must average at least 5 innings per start"</formula>
    </cfRule>
  </conditionalFormatting>
  <conditionalFormatting sqref="AK23">
    <cfRule type="cellIs" dxfId="4959" priority="3161" stopIfTrue="1" operator="equal">
      <formula>"must have 162 starts"</formula>
    </cfRule>
  </conditionalFormatting>
  <conditionalFormatting sqref="AK3:AK22">
    <cfRule type="cellIs" dxfId="4958" priority="3160" stopIfTrue="1" operator="equal">
      <formula>"must average at least 5 innings per start"</formula>
    </cfRule>
  </conditionalFormatting>
  <conditionalFormatting sqref="AK23">
    <cfRule type="cellIs" dxfId="4957" priority="3159" stopIfTrue="1" operator="equal">
      <formula>"must have 162 starts"</formula>
    </cfRule>
  </conditionalFormatting>
  <conditionalFormatting sqref="AK3:AK22">
    <cfRule type="cellIs" dxfId="4956" priority="3158" stopIfTrue="1" operator="equal">
      <formula>"must average at least 5 innings per start"</formula>
    </cfRule>
  </conditionalFormatting>
  <conditionalFormatting sqref="AK23">
    <cfRule type="cellIs" dxfId="4955" priority="3157" stopIfTrue="1" operator="equal">
      <formula>"must have 162 starts"</formula>
    </cfRule>
  </conditionalFormatting>
  <conditionalFormatting sqref="AK3:AK22">
    <cfRule type="cellIs" dxfId="4954" priority="3156" stopIfTrue="1" operator="equal">
      <formula>"must average at least 5 innings per start"</formula>
    </cfRule>
  </conditionalFormatting>
  <conditionalFormatting sqref="AK23">
    <cfRule type="cellIs" dxfId="4953" priority="3155" stopIfTrue="1" operator="equal">
      <formula>"must have 162 starts"</formula>
    </cfRule>
  </conditionalFormatting>
  <conditionalFormatting sqref="AK3:AK22">
    <cfRule type="cellIs" dxfId="4952" priority="3154" stopIfTrue="1" operator="equal">
      <formula>"must average at least 5 innings per start"</formula>
    </cfRule>
  </conditionalFormatting>
  <conditionalFormatting sqref="AK23">
    <cfRule type="cellIs" dxfId="4951" priority="3153" stopIfTrue="1" operator="equal">
      <formula>"must have 162 starts"</formula>
    </cfRule>
  </conditionalFormatting>
  <conditionalFormatting sqref="AK3:AK22">
    <cfRule type="cellIs" dxfId="4950" priority="3152" stopIfTrue="1" operator="equal">
      <formula>"must average at least 5 innings per start"</formula>
    </cfRule>
  </conditionalFormatting>
  <conditionalFormatting sqref="AK23">
    <cfRule type="cellIs" dxfId="4949" priority="3151" stopIfTrue="1" operator="equal">
      <formula>"must have 162 starts"</formula>
    </cfRule>
  </conditionalFormatting>
  <conditionalFormatting sqref="AK3:AK22">
    <cfRule type="cellIs" dxfId="4948" priority="3150" stopIfTrue="1" operator="equal">
      <formula>"must average at least 5 innings per start"</formula>
    </cfRule>
  </conditionalFormatting>
  <conditionalFormatting sqref="AK23">
    <cfRule type="cellIs" dxfId="4947" priority="3149" stopIfTrue="1" operator="equal">
      <formula>"must have 162 starts"</formula>
    </cfRule>
  </conditionalFormatting>
  <conditionalFormatting sqref="AG3:AG22">
    <cfRule type="cellIs" dxfId="4946" priority="3148" stopIfTrue="1" operator="equal">
      <formula>"must average at least 5 innings per start"</formula>
    </cfRule>
  </conditionalFormatting>
  <conditionalFormatting sqref="AG23">
    <cfRule type="cellIs" dxfId="4945" priority="3147" stopIfTrue="1" operator="equal">
      <formula>"must have 162 starts"</formula>
    </cfRule>
  </conditionalFormatting>
  <conditionalFormatting sqref="AK3:AK22">
    <cfRule type="cellIs" dxfId="4944" priority="3146" stopIfTrue="1" operator="equal">
      <formula>"must average at least 5 innings per start"</formula>
    </cfRule>
  </conditionalFormatting>
  <conditionalFormatting sqref="AK23">
    <cfRule type="cellIs" dxfId="4943" priority="3145" stopIfTrue="1" operator="equal">
      <formula>"must have 162 starts"</formula>
    </cfRule>
  </conditionalFormatting>
  <conditionalFormatting sqref="AK3:AK22">
    <cfRule type="cellIs" dxfId="4942" priority="3144" stopIfTrue="1" operator="equal">
      <formula>"must average at least 5 innings per start"</formula>
    </cfRule>
  </conditionalFormatting>
  <conditionalFormatting sqref="AK23">
    <cfRule type="cellIs" dxfId="4941" priority="3143" stopIfTrue="1" operator="equal">
      <formula>"must have 162 starts"</formula>
    </cfRule>
  </conditionalFormatting>
  <conditionalFormatting sqref="AK3:AK22">
    <cfRule type="cellIs" dxfId="4940" priority="3142" stopIfTrue="1" operator="equal">
      <formula>"must average at least 5 innings per start"</formula>
    </cfRule>
  </conditionalFormatting>
  <conditionalFormatting sqref="AK23">
    <cfRule type="cellIs" dxfId="4939" priority="3141" stopIfTrue="1" operator="equal">
      <formula>"must have 162 starts"</formula>
    </cfRule>
  </conditionalFormatting>
  <conditionalFormatting sqref="AK3:AK22">
    <cfRule type="cellIs" dxfId="4938" priority="3140" stopIfTrue="1" operator="equal">
      <formula>"must average at least 5 innings per start"</formula>
    </cfRule>
  </conditionalFormatting>
  <conditionalFormatting sqref="AK23">
    <cfRule type="cellIs" dxfId="4937" priority="3139" stopIfTrue="1" operator="equal">
      <formula>"must have 162 starts"</formula>
    </cfRule>
  </conditionalFormatting>
  <conditionalFormatting sqref="AK3:AK22">
    <cfRule type="cellIs" dxfId="4936" priority="3138" stopIfTrue="1" operator="equal">
      <formula>"must average at least 5 innings per start"</formula>
    </cfRule>
  </conditionalFormatting>
  <conditionalFormatting sqref="AK23">
    <cfRule type="cellIs" dxfId="4935" priority="3137" stopIfTrue="1" operator="equal">
      <formula>"must have 162 starts"</formula>
    </cfRule>
  </conditionalFormatting>
  <conditionalFormatting sqref="AK3:AK22">
    <cfRule type="cellIs" dxfId="4934" priority="3136" stopIfTrue="1" operator="equal">
      <formula>"must average at least 5 innings per start"</formula>
    </cfRule>
  </conditionalFormatting>
  <conditionalFormatting sqref="AK23">
    <cfRule type="cellIs" dxfId="4933" priority="3135" stopIfTrue="1" operator="equal">
      <formula>"must have 162 starts"</formula>
    </cfRule>
  </conditionalFormatting>
  <conditionalFormatting sqref="AG3:AG22">
    <cfRule type="cellIs" dxfId="4932" priority="3134" stopIfTrue="1" operator="equal">
      <formula>"must average at least 5 innings per start"</formula>
    </cfRule>
  </conditionalFormatting>
  <conditionalFormatting sqref="AG23">
    <cfRule type="cellIs" dxfId="4931" priority="3133" stopIfTrue="1" operator="equal">
      <formula>"must have 162 starts"</formula>
    </cfRule>
  </conditionalFormatting>
  <conditionalFormatting sqref="AK3:AK22">
    <cfRule type="cellIs" dxfId="4930" priority="3132" stopIfTrue="1" operator="equal">
      <formula>"must average at least 5 innings per start"</formula>
    </cfRule>
  </conditionalFormatting>
  <conditionalFormatting sqref="AK23">
    <cfRule type="cellIs" dxfId="4929" priority="3131" stopIfTrue="1" operator="equal">
      <formula>"must have 162 starts"</formula>
    </cfRule>
  </conditionalFormatting>
  <conditionalFormatting sqref="AK3:AK22">
    <cfRule type="cellIs" dxfId="4928" priority="3130" stopIfTrue="1" operator="equal">
      <formula>"must average at least 5 innings per start"</formula>
    </cfRule>
  </conditionalFormatting>
  <conditionalFormatting sqref="AK23">
    <cfRule type="cellIs" dxfId="4927" priority="3129" stopIfTrue="1" operator="equal">
      <formula>"must have 162 starts"</formula>
    </cfRule>
  </conditionalFormatting>
  <conditionalFormatting sqref="AK3:AK22">
    <cfRule type="cellIs" dxfId="4926" priority="3128" stopIfTrue="1" operator="equal">
      <formula>"must average at least 5 innings per start"</formula>
    </cfRule>
  </conditionalFormatting>
  <conditionalFormatting sqref="AK23">
    <cfRule type="cellIs" dxfId="4925" priority="3127" stopIfTrue="1" operator="equal">
      <formula>"must have 162 starts"</formula>
    </cfRule>
  </conditionalFormatting>
  <conditionalFormatting sqref="AK3:AK22">
    <cfRule type="cellIs" dxfId="4924" priority="3126" stopIfTrue="1" operator="equal">
      <formula>"must average at least 5 innings per start"</formula>
    </cfRule>
  </conditionalFormatting>
  <conditionalFormatting sqref="AK23">
    <cfRule type="cellIs" dxfId="4923" priority="3125" stopIfTrue="1" operator="equal">
      <formula>"must have 162 starts"</formula>
    </cfRule>
  </conditionalFormatting>
  <conditionalFormatting sqref="AK3:AK22">
    <cfRule type="cellIs" dxfId="4922" priority="3124" stopIfTrue="1" operator="equal">
      <formula>"must average at least 5 innings per start"</formula>
    </cfRule>
  </conditionalFormatting>
  <conditionalFormatting sqref="AK23">
    <cfRule type="cellIs" dxfId="4921" priority="3123" stopIfTrue="1" operator="equal">
      <formula>"must have 162 starts"</formula>
    </cfRule>
  </conditionalFormatting>
  <conditionalFormatting sqref="AG3:AG22">
    <cfRule type="cellIs" dxfId="4920" priority="3122" stopIfTrue="1" operator="equal">
      <formula>"must average at least 5 innings per start"</formula>
    </cfRule>
  </conditionalFormatting>
  <conditionalFormatting sqref="AG23">
    <cfRule type="cellIs" dxfId="4919" priority="3121" stopIfTrue="1" operator="equal">
      <formula>"must have 162 starts"</formula>
    </cfRule>
  </conditionalFormatting>
  <conditionalFormatting sqref="AK3:AK22">
    <cfRule type="cellIs" dxfId="4918" priority="3120" stopIfTrue="1" operator="equal">
      <formula>"must average at least 5 innings per start"</formula>
    </cfRule>
  </conditionalFormatting>
  <conditionalFormatting sqref="AK23">
    <cfRule type="cellIs" dxfId="4917" priority="3119" stopIfTrue="1" operator="equal">
      <formula>"must have 162 starts"</formula>
    </cfRule>
  </conditionalFormatting>
  <conditionalFormatting sqref="AK3:AK22">
    <cfRule type="cellIs" dxfId="4916" priority="3118" stopIfTrue="1" operator="equal">
      <formula>"must average at least 5 innings per start"</formula>
    </cfRule>
  </conditionalFormatting>
  <conditionalFormatting sqref="AK23">
    <cfRule type="cellIs" dxfId="4915" priority="3117" stopIfTrue="1" operator="equal">
      <formula>"must have 162 starts"</formula>
    </cfRule>
  </conditionalFormatting>
  <conditionalFormatting sqref="AK3:AK22">
    <cfRule type="cellIs" dxfId="4914" priority="3116" stopIfTrue="1" operator="equal">
      <formula>"must average at least 5 innings per start"</formula>
    </cfRule>
  </conditionalFormatting>
  <conditionalFormatting sqref="AK23">
    <cfRule type="cellIs" dxfId="4913" priority="3115" stopIfTrue="1" operator="equal">
      <formula>"must have 162 starts"</formula>
    </cfRule>
  </conditionalFormatting>
  <conditionalFormatting sqref="AK3:AK22">
    <cfRule type="cellIs" dxfId="4912" priority="3114" stopIfTrue="1" operator="equal">
      <formula>"must average at least 5 innings per start"</formula>
    </cfRule>
  </conditionalFormatting>
  <conditionalFormatting sqref="AK23">
    <cfRule type="cellIs" dxfId="4911" priority="3113" stopIfTrue="1" operator="equal">
      <formula>"must have 162 starts"</formula>
    </cfRule>
  </conditionalFormatting>
  <conditionalFormatting sqref="AG3:AG22">
    <cfRule type="cellIs" dxfId="4910" priority="3112" stopIfTrue="1" operator="equal">
      <formula>"must average at least 5 innings per start"</formula>
    </cfRule>
  </conditionalFormatting>
  <conditionalFormatting sqref="AG23">
    <cfRule type="cellIs" dxfId="4909" priority="3111" stopIfTrue="1" operator="equal">
      <formula>"must have 162 starts"</formula>
    </cfRule>
  </conditionalFormatting>
  <conditionalFormatting sqref="AK3:AK22">
    <cfRule type="cellIs" dxfId="4908" priority="3110" stopIfTrue="1" operator="equal">
      <formula>"must average at least 5 innings per start"</formula>
    </cfRule>
  </conditionalFormatting>
  <conditionalFormatting sqref="AK23">
    <cfRule type="cellIs" dxfId="4907" priority="3109" stopIfTrue="1" operator="equal">
      <formula>"must have 162 starts"</formula>
    </cfRule>
  </conditionalFormatting>
  <conditionalFormatting sqref="AK3:AK22">
    <cfRule type="cellIs" dxfId="4906" priority="3108" stopIfTrue="1" operator="equal">
      <formula>"must average at least 5 innings per start"</formula>
    </cfRule>
  </conditionalFormatting>
  <conditionalFormatting sqref="AK23">
    <cfRule type="cellIs" dxfId="4905" priority="3107" stopIfTrue="1" operator="equal">
      <formula>"must have 162 starts"</formula>
    </cfRule>
  </conditionalFormatting>
  <conditionalFormatting sqref="AK3:AK22">
    <cfRule type="cellIs" dxfId="4904" priority="3106" stopIfTrue="1" operator="equal">
      <formula>"must average at least 5 innings per start"</formula>
    </cfRule>
  </conditionalFormatting>
  <conditionalFormatting sqref="AK23">
    <cfRule type="cellIs" dxfId="4903" priority="3105" stopIfTrue="1" operator="equal">
      <formula>"must have 162 starts"</formula>
    </cfRule>
  </conditionalFormatting>
  <conditionalFormatting sqref="AG3:AG22">
    <cfRule type="cellIs" dxfId="4902" priority="3104" stopIfTrue="1" operator="equal">
      <formula>"must average at least 5 innings per start"</formula>
    </cfRule>
  </conditionalFormatting>
  <conditionalFormatting sqref="AG23">
    <cfRule type="cellIs" dxfId="4901" priority="3103" stopIfTrue="1" operator="equal">
      <formula>"must have 162 starts"</formula>
    </cfRule>
  </conditionalFormatting>
  <conditionalFormatting sqref="AK3:AK22">
    <cfRule type="cellIs" dxfId="4900" priority="3102" stopIfTrue="1" operator="equal">
      <formula>"must average at least 5 innings per start"</formula>
    </cfRule>
  </conditionalFormatting>
  <conditionalFormatting sqref="AK23">
    <cfRule type="cellIs" dxfId="4899" priority="3101" stopIfTrue="1" operator="equal">
      <formula>"must have 162 starts"</formula>
    </cfRule>
  </conditionalFormatting>
  <conditionalFormatting sqref="AG3:AG22">
    <cfRule type="cellIs" dxfId="4898" priority="3100" stopIfTrue="1" operator="equal">
      <formula>"must average at least 5 innings per start"</formula>
    </cfRule>
  </conditionalFormatting>
  <conditionalFormatting sqref="AG23">
    <cfRule type="cellIs" dxfId="4897" priority="3099" stopIfTrue="1" operator="equal">
      <formula>"must have 162 starts"</formula>
    </cfRule>
  </conditionalFormatting>
  <conditionalFormatting sqref="Q2">
    <cfRule type="cellIs" dxfId="4896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12022" divId="ROTcheck_12022" sourceType="sheet" destinationFile="C:\1kading\schedule\skedhun.html"/>
    <webPublishItem id="27572" divId="ROTcheck_27572" sourceType="range" sourceRef="A1:O193" destinationFile="C:\1kading\schedule\skedhun.html"/>
    <webPublishItem id="16159" divId="ROTcheck_16159" sourceType="range" sourceRef="A156:O185" destinationFile="C:\1kading\schedule\skedhun.html"/>
  </webPublishItems>
</worksheet>
</file>

<file path=xl/worksheets/sheet14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2" customWidth="1"/>
    <col min="2" max="2" width="3.85546875" style="2" customWidth="1"/>
    <col min="3" max="3" width="6" style="2" customWidth="1"/>
    <col min="4" max="4" width="27.1406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21.1406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10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45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/>
      <c r="C3" s="33" t="s">
        <v>13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1577</v>
      </c>
      <c r="T3" s="46" t="str">
        <f>IF(ISERROR((VLOOKUP(S3,Pitchers!$B$1:H$800,4,FALSE))),"",(VLOOKUP(S3,Pitchers!$B$1:H$800,4,FALSE)))</f>
        <v>PHI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11</v>
      </c>
      <c r="X3" s="47">
        <f>IF(ISERROR((VLOOKUP(S3,Pitchers!B$2:AA$795,11,FALSE))),"",(VLOOKUP(S3,Pitchers!B$2:AA$795,11,FALSE)))</f>
        <v>51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MAT</v>
      </c>
    </row>
    <row r="4" spans="1:36" ht="12.75" customHeight="1">
      <c r="A4" s="6">
        <v>4.0199999999999996</v>
      </c>
      <c r="B4" s="33"/>
      <c r="C4" s="33" t="s">
        <v>13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211</v>
      </c>
      <c r="T4" s="46" t="str">
        <f>IF(ISERROR((VLOOKUP(S4,Pitchers!$B$1:H$800,4,FALSE))),"",(VLOOKUP(S4,Pitchers!$B$1:H$800,4,FALSE)))</f>
        <v>ARI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8</v>
      </c>
      <c r="X4" s="47">
        <f>IF(ISERROR((VLOOKUP(S4,Pitchers!B$2:AA$795,11,FALSE))),"",(VLOOKUP(S4,Pitchers!B$2:AA$795,11,FALSE)))</f>
        <v>24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>L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MAT</v>
      </c>
    </row>
    <row r="5" spans="1:36" ht="12.75" customHeight="1">
      <c r="A5" s="6">
        <v>4.03</v>
      </c>
      <c r="B5" s="33"/>
      <c r="C5" s="33" t="s">
        <v>13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1243</v>
      </c>
      <c r="T5" s="46" t="str">
        <f>IF(ISERROR((VLOOKUP(S5,Pitchers!$B$1:H$800,4,FALSE))),"",(VLOOKUP(S5,Pitchers!$B$1:H$800,4,FALSE)))</f>
        <v>CHC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6</v>
      </c>
      <c r="X5" s="47">
        <f>IF(ISERROR((VLOOKUP(S5,Pitchers!B$2:AA$795,11,FALSE))),"",(VLOOKUP(S5,Pitchers!B$2:AA$795,11,FALSE)))</f>
        <v>180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>Z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MAT</v>
      </c>
    </row>
    <row r="6" spans="1:36" ht="12.75" customHeight="1">
      <c r="A6" s="6">
        <v>4.04</v>
      </c>
      <c r="B6" s="33"/>
      <c r="C6" s="33" t="s">
        <v>13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1653</v>
      </c>
      <c r="T6" s="46" t="str">
        <f>IF(ISERROR((VLOOKUP(S6,Pitchers!$B$1:H$800,4,FALSE))),"",(VLOOKUP(S6,Pitchers!$B$1:H$800,4,FALSE)))</f>
        <v>CIN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4</v>
      </c>
      <c r="X6" s="47">
        <f>IF(ISERROR((VLOOKUP(S6,Pitchers!B$2:AA$795,11,FALSE))),"",(VLOOKUP(S6,Pitchers!B$2:AA$795,11,FALSE)))</f>
        <v>93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X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MAT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563</v>
      </c>
      <c r="T7" s="46" t="str">
        <f>IF(ISERROR((VLOOKUP(S7,Pitchers!$B$1:H$800,4,FALSE))),"",(VLOOKUP(S7,Pitchers!$B$1:H$800,4,FALSE)))</f>
        <v>SFG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4</v>
      </c>
      <c r="X7" s="47">
        <f>IF(ISERROR((VLOOKUP(S7,Pitchers!B$2:AA$795,11,FALSE))),"",(VLOOKUP(S7,Pitchers!B$2:AA$795,11,FALSE)))</f>
        <v>6</v>
      </c>
      <c r="Y7" s="48"/>
      <c r="Z7" s="49"/>
      <c r="AA7" s="50"/>
      <c r="AB7" s="51" t="str">
        <f>IF(ISERROR((VLOOKUP(S7,Pitchers!B$2:AA$795,16,FALSE))),"",(VLOOKUP(S7,Pitchers!B$2:AA$795,16,FALSE)))</f>
        <v>Y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2" t="s">
        <v>32</v>
      </c>
      <c r="C8" s="33" t="s">
        <v>42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t="s">
        <v>1345</v>
      </c>
      <c r="T8" s="46" t="str">
        <f>IF(ISERROR((VLOOKUP(S8,Pitchers!$B$1:H$800,4,FALSE))),"",(VLOOKUP(S8,Pitchers!$B$1:H$800,4,FALSE)))</f>
        <v>TBR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5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>X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MAT</v>
      </c>
    </row>
    <row r="9" spans="1:36" ht="12.75">
      <c r="A9" s="6">
        <v>4.07</v>
      </c>
      <c r="B9" s="32" t="s">
        <v>32</v>
      </c>
      <c r="C9" s="33" t="s">
        <v>42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39" t="s">
        <v>1343</v>
      </c>
      <c r="T9" s="46" t="str">
        <f>IF(ISERROR((VLOOKUP(S9,Pitchers!$B$1:H$800,4,FALSE))),"",(VLOOKUP(S9,Pitchers!$B$1:H$800,4,FALSE)))</f>
        <v>LAD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5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XY</v>
      </c>
      <c r="AC9" s="52" t="str">
        <f>IF(ISERROR((VLOOKUP(S9,Pitchers!B$2:AA$795,17,FALSE))),"",(VLOOKUP(S9,Pitchers!B$2:AA$795,17,FALSE)))</f>
        <v>Z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MAT</v>
      </c>
    </row>
    <row r="10" spans="1:36" ht="12.75">
      <c r="A10" s="6">
        <v>4.08</v>
      </c>
      <c r="B10" s="32" t="s">
        <v>32</v>
      </c>
      <c r="C10" s="33" t="s">
        <v>42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t="s">
        <v>1373</v>
      </c>
      <c r="T10" s="46" t="str">
        <f>IF(ISERROR((VLOOKUP(S10,Pitchers!$B$1:H$800,4,FALSE))),"",(VLOOKUP(S10,Pitchers!$B$1:H$800,4,FALSE)))</f>
        <v>DET</v>
      </c>
      <c r="U10" s="45" t="str">
        <f>IF(ISERROR((VLOOKUP(S10,Pitchers!B$2:AA$795,10,FALSE))),"",(VLOOKUP(S10,Pitchers!B$2:AA$795,10,FALSE)))</f>
        <v>L</v>
      </c>
      <c r="V10" s="41"/>
      <c r="W10" s="46">
        <f>IF(ISERROR((VLOOKUP(S10,Pitchers!B$2:AA$795,13,FALSE))),"",(VLOOKUP(S10,Pitchers!B$2:AA$795,13,FALSE)))</f>
        <v>3</v>
      </c>
      <c r="X10" s="47">
        <f>IF(ISERROR((VLOOKUP(S10,Pitchers!B$2:AA$795,11,FALSE))),"",(VLOOKUP(S10,Pitchers!B$2:AA$795,11,FALSE)))</f>
        <v>59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MAT</v>
      </c>
    </row>
    <row r="11" spans="1:36" ht="12.75">
      <c r="A11" s="6">
        <v>4.09</v>
      </c>
      <c r="B11" s="32" t="s">
        <v>32</v>
      </c>
      <c r="C11" s="33" t="s">
        <v>42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t="s">
        <v>1497</v>
      </c>
      <c r="T11" s="46" t="str">
        <f>IF(ISERROR((VLOOKUP(S11,Pitchers!$B$1:H$800,4,FALSE))),"",(VLOOKUP(S11,Pitchers!$B$1:H$800,4,FALSE)))</f>
        <v>CHW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2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>W</v>
      </c>
      <c r="AD11" s="53" t="str">
        <f>IF(ISERROR((VLOOKUP(S11,Pitchers!B$2:AA$795,18,FALSE))),"",(VLOOKUP(S11,Pitchers!B$2:AA$795,18,FALSE)))</f>
        <v>G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MAT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t="s">
        <v>529</v>
      </c>
      <c r="T12" s="46" t="str">
        <f>IF(ISERROR((VLOOKUP(S12,Pitchers!$B$1:H$800,4,FALSE))),"",(VLOOKUP(S12,Pitchers!$B$1:H$800,4,FALSE)))</f>
        <v>TOT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1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>Y</v>
      </c>
      <c r="AC12" s="52" t="str">
        <f>IF(ISERROR((VLOOKUP(S12,Pitchers!B$2:AA$795,17,FALSE))),"",(VLOOKUP(S12,Pitchers!B$2:AA$795,17,FALSE)))</f>
        <v xml:space="preserve"> </v>
      </c>
      <c r="AD12" s="53" t="str">
        <f>IF(ISERROR((VLOOKUP(S12,Pitchers!B$2:AA$795,18,FALSE))),"",(VLOOKUP(S12,Pitchers!B$2:AA$795,18,FALSE)))</f>
        <v>L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14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81" t="s">
        <v>103</v>
      </c>
      <c r="T13" s="46" t="str">
        <f>IF(ISERROR((VLOOKUP(S13,Pitchers!$B$1:H$800,4,FALSE))),"",(VLOOKUP(S13,Pitchers!$B$1:H$800,4,FALSE)))</f>
        <v>MIA</v>
      </c>
      <c r="U13" s="45" t="str">
        <f>IF(ISERROR((VLOOKUP(S13,Pitchers!B$2:AA$795,10,FALSE))),"",(VLOOKUP(S13,Pitchers!B$2:AA$795,10,FALSE)))</f>
        <v>R</v>
      </c>
      <c r="V13" s="21"/>
      <c r="W13" s="46">
        <f>IF(ISERROR((VLOOKUP(S13,Pitchers!B$2:AA$795,13,FALSE))),"",(VLOOKUP(S13,Pitchers!B$2:AA$795,13,FALSE)))</f>
        <v>1</v>
      </c>
      <c r="X13" s="47">
        <f>IF(ISERROR((VLOOKUP(S13,Pitchers!B$2:AA$795,11,FALSE))),"",(VLOOKUP(S13,Pitchers!B$2:AA$795,11,FALSE)))</f>
        <v>200</v>
      </c>
      <c r="Y13" s="22"/>
      <c r="Z13" s="22"/>
      <c r="AA13" s="22"/>
      <c r="AB13" s="51" t="str">
        <f>IF(ISERROR((VLOOKUP(S13,Pitchers!B$2:AA$795,16,FALSE))),"",(VLOOKUP(S13,Pitchers!B$2:AA$795,16,FALSE)))</f>
        <v xml:space="preserve"> </v>
      </c>
      <c r="AC13" s="52" t="str">
        <f>IF(ISERROR((VLOOKUP(S13,Pitchers!B$2:AA$795,17,FALSE))),"",(VLOOKUP(S13,Pitchers!B$2:AA$795,17,FALSE)))</f>
        <v xml:space="preserve"> </v>
      </c>
      <c r="AD13" s="53" t="str">
        <f>IF(ISERROR((VLOOKUP(S13,Pitchers!B$2:AA$795,18,FALSE))),"",(VLOOKUP(S13,Pitchers!B$2:AA$795,18,FALSE)))</f>
        <v>H</v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MAT</v>
      </c>
    </row>
    <row r="14" spans="1:36" ht="12.75">
      <c r="A14" s="6">
        <v>4.12</v>
      </c>
      <c r="B14" s="32" t="s">
        <v>32</v>
      </c>
      <c r="C14" s="33" t="s">
        <v>14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MAT</v>
      </c>
    </row>
    <row r="15" spans="1:36" ht="12.75">
      <c r="A15" s="6">
        <v>4.13</v>
      </c>
      <c r="B15" s="32" t="s">
        <v>32</v>
      </c>
      <c r="C15" s="33" t="s">
        <v>14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MAT</v>
      </c>
    </row>
    <row r="16" spans="1:36" ht="12.75">
      <c r="A16" s="6">
        <v>4.1399999999999997</v>
      </c>
      <c r="B16" s="32" t="s">
        <v>32</v>
      </c>
      <c r="C16" s="33" t="s">
        <v>14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MAT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33" t="s">
        <v>1917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MAT</v>
      </c>
    </row>
    <row r="19" spans="1:36" ht="12.75">
      <c r="A19" s="6">
        <v>4.17</v>
      </c>
      <c r="B19" s="33" t="s">
        <v>32</v>
      </c>
      <c r="C19" s="33" t="s">
        <v>1917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MAT</v>
      </c>
    </row>
    <row r="20" spans="1:36" ht="12.75">
      <c r="A20" s="6">
        <v>4.18</v>
      </c>
      <c r="B20" s="33" t="s">
        <v>32</v>
      </c>
      <c r="C20" s="33" t="s">
        <v>1917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MAT</v>
      </c>
    </row>
    <row r="21" spans="1:36" ht="12.75">
      <c r="A21" s="6">
        <v>4.1900000000000004</v>
      </c>
      <c r="B21" s="33" t="s">
        <v>32</v>
      </c>
      <c r="C21" s="33" t="s">
        <v>1917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MAT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55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MAT</v>
      </c>
    </row>
    <row r="24" spans="1:36" ht="12.75">
      <c r="A24" s="6">
        <v>4.22</v>
      </c>
      <c r="B24" s="33"/>
      <c r="C24" s="33" t="s">
        <v>55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MAT</v>
      </c>
    </row>
    <row r="25" spans="1:36" ht="12.75">
      <c r="A25" s="6">
        <v>4.2300000000000004</v>
      </c>
      <c r="B25" s="33"/>
      <c r="C25" s="33" t="s">
        <v>55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MAT</v>
      </c>
    </row>
    <row r="26" spans="1:36" ht="12.75">
      <c r="A26" s="6">
        <v>4.24</v>
      </c>
      <c r="B26" s="33"/>
      <c r="C26" s="33" t="s">
        <v>55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MAT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3"/>
      <c r="C28" s="33" t="s">
        <v>16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MAT</v>
      </c>
    </row>
    <row r="29" spans="1:36" ht="12.75">
      <c r="A29" s="6">
        <v>4.2699999999999996</v>
      </c>
      <c r="B29" s="33"/>
      <c r="C29" s="33" t="s">
        <v>16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MAT</v>
      </c>
    </row>
    <row r="30" spans="1:36" ht="12.75">
      <c r="A30" s="6">
        <v>4.28</v>
      </c>
      <c r="B30" s="33"/>
      <c r="C30" s="33" t="s">
        <v>16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MAT</v>
      </c>
    </row>
    <row r="31" spans="1:36" ht="12.75">
      <c r="A31" s="6">
        <v>4.29</v>
      </c>
      <c r="B31" s="33"/>
      <c r="C31" s="33" t="s">
        <v>16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MAT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3"/>
      <c r="C33" s="33" t="s">
        <v>41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MAT</v>
      </c>
    </row>
    <row r="34" spans="1:36" ht="12.75">
      <c r="A34" s="6">
        <v>5.0199999999999996</v>
      </c>
      <c r="B34" s="33"/>
      <c r="C34" s="33" t="s">
        <v>41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MAT</v>
      </c>
    </row>
    <row r="35" spans="1:36" ht="12.75">
      <c r="A35" s="6">
        <v>5.03</v>
      </c>
      <c r="B35" s="33"/>
      <c r="C35" s="33" t="s">
        <v>41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MAT</v>
      </c>
    </row>
    <row r="36" spans="1:36" ht="12.75">
      <c r="A36" s="6">
        <v>5.04</v>
      </c>
      <c r="B36" s="33"/>
      <c r="C36" s="33" t="s">
        <v>41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MAT</v>
      </c>
    </row>
    <row r="37" spans="1:36" ht="12.75">
      <c r="A37" s="6">
        <v>5.05</v>
      </c>
      <c r="B37" s="33" t="s">
        <v>32</v>
      </c>
      <c r="C37" s="33" t="s">
        <v>48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MAT</v>
      </c>
    </row>
    <row r="38" spans="1:36" ht="12.75">
      <c r="A38" s="6">
        <v>5.0599999999999996</v>
      </c>
      <c r="B38" s="33" t="s">
        <v>32</v>
      </c>
      <c r="C38" s="33" t="s">
        <v>48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MAT</v>
      </c>
    </row>
    <row r="39" spans="1:36" ht="12.75">
      <c r="A39" s="6">
        <v>5.07</v>
      </c>
      <c r="B39" s="33" t="s">
        <v>32</v>
      </c>
      <c r="C39" s="33" t="s">
        <v>48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MAT</v>
      </c>
    </row>
    <row r="40" spans="1:36" ht="12.75">
      <c r="A40" s="6">
        <v>5.08</v>
      </c>
      <c r="B40" s="33" t="s">
        <v>32</v>
      </c>
      <c r="C40" s="33" t="s">
        <v>48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MAT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3" t="s">
        <v>32</v>
      </c>
      <c r="C42" s="33" t="s">
        <v>43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MAT</v>
      </c>
    </row>
    <row r="43" spans="1:36" ht="12.75">
      <c r="A43" s="6">
        <v>5.1100000000000003</v>
      </c>
      <c r="B43" s="33" t="s">
        <v>32</v>
      </c>
      <c r="C43" s="33" t="s">
        <v>43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MAT</v>
      </c>
    </row>
    <row r="44" spans="1:36" ht="12.75">
      <c r="A44" s="6">
        <v>5.12</v>
      </c>
      <c r="B44" s="33" t="s">
        <v>32</v>
      </c>
      <c r="C44" s="33" t="s">
        <v>43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MAT</v>
      </c>
    </row>
    <row r="45" spans="1:36" ht="12.75">
      <c r="A45" s="6">
        <v>5.13</v>
      </c>
      <c r="B45" s="33" t="s">
        <v>32</v>
      </c>
      <c r="C45" s="33" t="s">
        <v>43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MAT</v>
      </c>
    </row>
    <row r="46" spans="1:36" ht="12.75">
      <c r="A46" s="6">
        <v>5.14</v>
      </c>
      <c r="B46" s="33" t="s">
        <v>32</v>
      </c>
      <c r="C46" s="33" t="s">
        <v>17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MAT</v>
      </c>
    </row>
    <row r="47" spans="1:36" ht="12.75">
      <c r="A47" s="6">
        <v>5.15</v>
      </c>
      <c r="B47" s="33" t="s">
        <v>32</v>
      </c>
      <c r="C47" s="33" t="s">
        <v>17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MAT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17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MAT</v>
      </c>
    </row>
    <row r="50" spans="1:36" ht="12.75">
      <c r="A50" s="6">
        <v>5.18</v>
      </c>
      <c r="B50" s="33" t="s">
        <v>32</v>
      </c>
      <c r="C50" s="33" t="s">
        <v>17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MAT</v>
      </c>
    </row>
    <row r="51" spans="1:36" ht="12.75">
      <c r="A51" s="6">
        <v>5.19</v>
      </c>
      <c r="B51" s="33"/>
      <c r="C51" s="33" t="s">
        <v>1191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MAT</v>
      </c>
    </row>
    <row r="52" spans="1:36" ht="12.75">
      <c r="A52" s="6">
        <v>5.2</v>
      </c>
      <c r="B52" s="33"/>
      <c r="C52" s="33" t="s">
        <v>1191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MAT</v>
      </c>
    </row>
    <row r="53" spans="1:36" ht="12.75">
      <c r="A53" s="6">
        <v>5.21</v>
      </c>
      <c r="B53" s="33"/>
      <c r="C53" s="33" t="s">
        <v>1191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MAT</v>
      </c>
    </row>
    <row r="54" spans="1:36" ht="12.75">
      <c r="A54" s="6">
        <v>5.22</v>
      </c>
      <c r="B54" s="33"/>
      <c r="C54" s="33" t="s">
        <v>1191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MAT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2" t="s">
        <v>32</v>
      </c>
      <c r="C56" s="33" t="s">
        <v>53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MAT</v>
      </c>
    </row>
    <row r="57" spans="1:36" ht="12.75">
      <c r="A57" s="6">
        <v>5.25</v>
      </c>
      <c r="B57" s="32" t="s">
        <v>32</v>
      </c>
      <c r="C57" s="33" t="s">
        <v>53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MAT</v>
      </c>
    </row>
    <row r="58" spans="1:36" ht="12.75">
      <c r="A58" s="6">
        <v>5.26</v>
      </c>
      <c r="B58" s="32" t="s">
        <v>32</v>
      </c>
      <c r="C58" s="33" t="s">
        <v>53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MAT</v>
      </c>
    </row>
    <row r="59" spans="1:36" ht="12.75">
      <c r="A59" s="6">
        <v>5.27</v>
      </c>
      <c r="B59" s="32" t="s">
        <v>32</v>
      </c>
      <c r="C59" s="33" t="s">
        <v>53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MAT</v>
      </c>
    </row>
    <row r="60" spans="1:36" ht="12.75">
      <c r="A60" s="6">
        <v>5.28</v>
      </c>
      <c r="B60" s="33"/>
      <c r="C60" s="33" t="s">
        <v>34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MAT</v>
      </c>
    </row>
    <row r="61" spans="1:36" ht="12.75">
      <c r="A61" s="6">
        <v>5.29</v>
      </c>
      <c r="B61" s="33"/>
      <c r="C61" s="33" t="s">
        <v>34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MAT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3"/>
      <c r="C63" s="33" t="s">
        <v>34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MAT</v>
      </c>
    </row>
    <row r="64" spans="1:36" ht="12.75">
      <c r="A64" s="6">
        <v>6.01</v>
      </c>
      <c r="B64" s="33"/>
      <c r="C64" s="33" t="s">
        <v>35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MAT</v>
      </c>
    </row>
    <row r="65" spans="1:36" ht="12.75">
      <c r="A65" s="6">
        <v>6.02</v>
      </c>
      <c r="B65" s="33"/>
      <c r="C65" s="33" t="s">
        <v>35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MAT</v>
      </c>
    </row>
    <row r="66" spans="1:36" ht="12.75">
      <c r="A66" s="6">
        <v>6.03</v>
      </c>
      <c r="B66" s="33"/>
      <c r="C66" s="33" t="s">
        <v>35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MAT</v>
      </c>
    </row>
    <row r="67" spans="1:36" ht="12.75">
      <c r="A67" s="6">
        <v>6.04</v>
      </c>
      <c r="B67" s="33"/>
      <c r="C67" s="33" t="s">
        <v>35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MAT</v>
      </c>
    </row>
    <row r="68" spans="1:36" ht="12.75">
      <c r="A68" s="6">
        <v>6.05</v>
      </c>
      <c r="B68" s="33" t="s">
        <v>32</v>
      </c>
      <c r="C68" s="33" t="s">
        <v>1918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MAT</v>
      </c>
    </row>
    <row r="69" spans="1:36" ht="12.75">
      <c r="A69" s="6">
        <v>6.06</v>
      </c>
      <c r="B69" s="33" t="s">
        <v>32</v>
      </c>
      <c r="C69" s="33" t="s">
        <v>1918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MAT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3" t="s">
        <v>32</v>
      </c>
      <c r="C71" s="33" t="s">
        <v>1918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MAT</v>
      </c>
    </row>
    <row r="72" spans="1:36" ht="12.75">
      <c r="A72" s="6">
        <v>6.09</v>
      </c>
      <c r="B72" s="33" t="s">
        <v>32</v>
      </c>
      <c r="C72" s="33" t="s">
        <v>1918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MAT</v>
      </c>
    </row>
    <row r="73" spans="1:36" ht="12.75">
      <c r="A73" s="6">
        <v>6.1</v>
      </c>
      <c r="B73" s="32" t="s">
        <v>32</v>
      </c>
      <c r="C73" s="33" t="s">
        <v>56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MAT</v>
      </c>
    </row>
    <row r="74" spans="1:36" ht="12.75">
      <c r="A74" s="6">
        <v>6.11</v>
      </c>
      <c r="B74" s="32" t="s">
        <v>32</v>
      </c>
      <c r="C74" s="33" t="s">
        <v>56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MAT</v>
      </c>
    </row>
    <row r="75" spans="1:36" ht="12.75">
      <c r="A75" s="6">
        <v>6.12</v>
      </c>
      <c r="B75" s="32" t="s">
        <v>32</v>
      </c>
      <c r="C75" s="33" t="s">
        <v>56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MAT</v>
      </c>
    </row>
    <row r="76" spans="1:36" ht="12.75">
      <c r="A76" s="6">
        <v>6.13</v>
      </c>
      <c r="B76" s="32" t="s">
        <v>32</v>
      </c>
      <c r="C76" s="33" t="s">
        <v>56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MAT</v>
      </c>
    </row>
    <row r="77" spans="1:36" ht="12.75">
      <c r="A77" s="6">
        <v>6.14</v>
      </c>
      <c r="B77" s="33"/>
      <c r="C77" s="33" t="s">
        <v>54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MAT</v>
      </c>
    </row>
    <row r="78" spans="1:36" ht="12.75">
      <c r="A78" s="6">
        <v>6.15</v>
      </c>
      <c r="B78" s="33"/>
      <c r="C78" s="33" t="s">
        <v>54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MAT</v>
      </c>
    </row>
    <row r="79" spans="1:36" ht="12.75">
      <c r="A79" s="6">
        <v>6.16</v>
      </c>
      <c r="B79" s="33"/>
      <c r="C79" s="33" t="s">
        <v>54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MAT</v>
      </c>
    </row>
    <row r="80" spans="1:36" ht="12.75">
      <c r="A80" s="6">
        <v>6.17</v>
      </c>
      <c r="B80" s="33"/>
      <c r="C80" s="33" t="s">
        <v>54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MAT</v>
      </c>
    </row>
    <row r="81" spans="1:36" ht="12.75">
      <c r="A81" s="6">
        <v>6.18</v>
      </c>
      <c r="B81" s="33"/>
      <c r="C81" s="33" t="s">
        <v>15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MAT</v>
      </c>
    </row>
    <row r="82" spans="1:36" ht="12.75">
      <c r="A82" s="6">
        <v>6.19</v>
      </c>
      <c r="B82" s="33"/>
      <c r="C82" s="33" t="s">
        <v>15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MAT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3"/>
      <c r="C84" s="33" t="s">
        <v>15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MAT</v>
      </c>
    </row>
    <row r="85" spans="1:36" ht="12.75">
      <c r="A85" s="6">
        <v>6.22</v>
      </c>
      <c r="B85" s="33"/>
      <c r="C85" s="33" t="s">
        <v>15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MAT</v>
      </c>
    </row>
    <row r="86" spans="1:36" ht="12.75">
      <c r="A86" s="6">
        <v>6.23</v>
      </c>
      <c r="B86" s="33" t="s">
        <v>32</v>
      </c>
      <c r="C86" s="33" t="s">
        <v>47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MAT</v>
      </c>
    </row>
    <row r="87" spans="1:36" ht="12.75">
      <c r="A87" s="6">
        <v>6.24</v>
      </c>
      <c r="B87" s="33" t="s">
        <v>32</v>
      </c>
      <c r="C87" s="33" t="s">
        <v>47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MAT</v>
      </c>
    </row>
    <row r="88" spans="1:36" ht="12.75">
      <c r="A88" s="6">
        <v>6.25</v>
      </c>
      <c r="B88" s="33" t="s">
        <v>32</v>
      </c>
      <c r="C88" s="33" t="s">
        <v>47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MAT</v>
      </c>
    </row>
    <row r="89" spans="1:36" ht="12.75">
      <c r="A89" s="6">
        <v>6.26</v>
      </c>
      <c r="B89" s="33" t="s">
        <v>32</v>
      </c>
      <c r="C89" s="33" t="s">
        <v>47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MAT</v>
      </c>
    </row>
    <row r="90" spans="1:36" ht="12.75">
      <c r="A90" s="6">
        <v>6.27</v>
      </c>
      <c r="B90" s="32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2.75">
      <c r="A91" s="6">
        <v>6.28</v>
      </c>
      <c r="B91" s="33" t="s">
        <v>32</v>
      </c>
      <c r="C91" s="33" t="s">
        <v>33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MAT</v>
      </c>
    </row>
    <row r="92" spans="1:36" ht="12.75">
      <c r="A92" s="6">
        <v>6.29</v>
      </c>
      <c r="B92" s="33" t="s">
        <v>32</v>
      </c>
      <c r="C92" s="33" t="s">
        <v>33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MAT</v>
      </c>
    </row>
    <row r="93" spans="1:36" ht="12.75">
      <c r="A93" s="6">
        <v>6.3</v>
      </c>
      <c r="B93" s="33" t="s">
        <v>32</v>
      </c>
      <c r="C93" s="33" t="s">
        <v>33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MAT</v>
      </c>
    </row>
    <row r="94" spans="1:36" ht="12.75">
      <c r="A94" s="6">
        <v>7.01</v>
      </c>
      <c r="B94" s="33"/>
      <c r="C94" s="33" t="s">
        <v>46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MAT</v>
      </c>
    </row>
    <row r="95" spans="1:36" ht="12.75">
      <c r="A95" s="6">
        <v>7.02</v>
      </c>
      <c r="B95" s="33"/>
      <c r="C95" s="33" t="s">
        <v>46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MAT</v>
      </c>
    </row>
    <row r="96" spans="1:36" ht="12.75">
      <c r="A96" s="6">
        <v>7.03</v>
      </c>
      <c r="B96" s="33"/>
      <c r="C96" s="33" t="s">
        <v>46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MAT</v>
      </c>
    </row>
    <row r="97" spans="1:36" ht="12.75">
      <c r="A97" s="6">
        <v>7.04</v>
      </c>
      <c r="B97" s="33" t="s">
        <v>32</v>
      </c>
      <c r="C97" s="33" t="s">
        <v>12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MAT</v>
      </c>
    </row>
    <row r="98" spans="1:36" ht="12.75">
      <c r="A98" s="6">
        <v>7.05</v>
      </c>
      <c r="B98" s="33" t="s">
        <v>32</v>
      </c>
      <c r="C98" s="33" t="s">
        <v>12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MAT</v>
      </c>
    </row>
    <row r="99" spans="1:36" ht="12.75">
      <c r="A99" s="6">
        <v>7.06</v>
      </c>
      <c r="B99" s="33" t="s">
        <v>32</v>
      </c>
      <c r="C99" s="33" t="s">
        <v>12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MAT</v>
      </c>
    </row>
    <row r="100" spans="1:36" ht="12.75">
      <c r="A100" s="6">
        <v>7.07</v>
      </c>
      <c r="B100" s="33"/>
      <c r="C100" s="33" t="s">
        <v>51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MAT</v>
      </c>
    </row>
    <row r="101" spans="1:36" ht="12.75">
      <c r="A101" s="6">
        <v>7.08</v>
      </c>
      <c r="B101" s="33"/>
      <c r="C101" s="33" t="s">
        <v>51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MAT</v>
      </c>
    </row>
    <row r="102" spans="1:36" ht="12.75">
      <c r="A102" s="6">
        <v>7.09</v>
      </c>
      <c r="B102" s="33"/>
      <c r="C102" s="33" t="s">
        <v>51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MAT</v>
      </c>
    </row>
    <row r="103" spans="1:36" ht="12.75">
      <c r="A103" s="6">
        <v>7.1</v>
      </c>
      <c r="B103" s="32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2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2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44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MAT</v>
      </c>
    </row>
    <row r="107" spans="1:36" ht="12.75">
      <c r="A107" s="6">
        <v>7.14</v>
      </c>
      <c r="B107" s="33"/>
      <c r="C107" s="33" t="s">
        <v>44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MAT</v>
      </c>
    </row>
    <row r="108" spans="1:36" ht="12.75">
      <c r="A108" s="6">
        <v>7.15</v>
      </c>
      <c r="B108" s="33"/>
      <c r="C108" s="33" t="s">
        <v>44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MAT</v>
      </c>
    </row>
    <row r="109" spans="1:36" ht="12.75">
      <c r="A109" s="6">
        <v>7.16</v>
      </c>
      <c r="B109" s="33" t="s">
        <v>32</v>
      </c>
      <c r="C109" s="33" t="s">
        <v>39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MAT</v>
      </c>
    </row>
    <row r="110" spans="1:36" ht="12.75">
      <c r="A110" s="6">
        <v>7.17</v>
      </c>
      <c r="B110" s="33" t="s">
        <v>32</v>
      </c>
      <c r="C110" s="33" t="s">
        <v>39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MAT</v>
      </c>
    </row>
    <row r="111" spans="1:36" ht="12.75">
      <c r="A111" s="6">
        <v>7.18</v>
      </c>
      <c r="B111" s="33" t="s">
        <v>32</v>
      </c>
      <c r="C111" s="33" t="s">
        <v>39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MAT</v>
      </c>
    </row>
    <row r="112" spans="1:36" ht="12.75">
      <c r="A112" s="6">
        <v>7.19</v>
      </c>
      <c r="B112" s="33"/>
      <c r="C112" s="33" t="s">
        <v>49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MAT</v>
      </c>
    </row>
    <row r="113" spans="1:36" ht="12.75">
      <c r="A113" s="6">
        <v>7.2</v>
      </c>
      <c r="B113" s="33"/>
      <c r="C113" s="33" t="s">
        <v>49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MAT</v>
      </c>
    </row>
    <row r="114" spans="1:36" ht="12.75">
      <c r="A114" s="6">
        <v>7.21</v>
      </c>
      <c r="B114" s="33"/>
      <c r="C114" s="33" t="s">
        <v>49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MAT</v>
      </c>
    </row>
    <row r="115" spans="1:36" ht="12.75">
      <c r="A115" s="6">
        <v>7.22</v>
      </c>
      <c r="B115" s="33"/>
      <c r="C115" s="33" t="s">
        <v>49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MAT</v>
      </c>
    </row>
    <row r="116" spans="1:36" ht="12.75">
      <c r="A116" s="6">
        <v>7.23</v>
      </c>
      <c r="B116" s="33" t="s">
        <v>32</v>
      </c>
      <c r="C116" s="33" t="s">
        <v>40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MAT</v>
      </c>
    </row>
    <row r="117" spans="1:36" ht="12.75">
      <c r="A117" s="6">
        <v>7.24</v>
      </c>
      <c r="B117" s="33" t="s">
        <v>32</v>
      </c>
      <c r="C117" s="33" t="s">
        <v>40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MAT</v>
      </c>
    </row>
    <row r="118" spans="1:36" ht="12.75">
      <c r="A118" s="6">
        <v>7.25</v>
      </c>
      <c r="B118" s="33" t="s">
        <v>32</v>
      </c>
      <c r="C118" s="33" t="s">
        <v>40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MAT</v>
      </c>
    </row>
    <row r="119" spans="1:36" ht="12.75">
      <c r="A119" s="6">
        <v>7.26</v>
      </c>
      <c r="B119" s="33" t="s">
        <v>32</v>
      </c>
      <c r="C119" s="33" t="s">
        <v>40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MAT</v>
      </c>
    </row>
    <row r="120" spans="1:36" ht="12.75">
      <c r="A120" s="6">
        <v>7.27</v>
      </c>
      <c r="B120" s="33"/>
      <c r="C120" s="33" t="s">
        <v>52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MAT</v>
      </c>
    </row>
    <row r="121" spans="1:36" ht="12.75">
      <c r="A121" s="6">
        <v>7.28</v>
      </c>
      <c r="B121" s="33"/>
      <c r="C121" s="33" t="s">
        <v>52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MAT</v>
      </c>
    </row>
    <row r="122" spans="1:36" ht="12.75">
      <c r="A122" s="6">
        <v>7.29</v>
      </c>
      <c r="B122" s="33"/>
      <c r="C122" s="33" t="s">
        <v>52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MAT</v>
      </c>
    </row>
    <row r="123" spans="1:36" ht="12.75">
      <c r="A123" s="6">
        <v>7.3</v>
      </c>
      <c r="B123" s="33"/>
      <c r="C123" s="33" t="s">
        <v>52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MAT</v>
      </c>
    </row>
    <row r="124" spans="1:36" ht="12.75">
      <c r="A124" s="6">
        <v>7.31</v>
      </c>
      <c r="B124" s="32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3"/>
      <c r="C125" s="33" t="s">
        <v>1919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MAT</v>
      </c>
    </row>
    <row r="126" spans="1:36" ht="12.75">
      <c r="A126" s="6">
        <v>8.02</v>
      </c>
      <c r="B126" s="33"/>
      <c r="C126" s="33" t="s">
        <v>1919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MAT</v>
      </c>
    </row>
    <row r="127" spans="1:36" ht="12.75">
      <c r="A127" s="6">
        <v>8.0299999999999994</v>
      </c>
      <c r="B127" s="33"/>
      <c r="C127" s="33" t="s">
        <v>1919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MAT</v>
      </c>
    </row>
    <row r="128" spans="1:36" ht="12.75">
      <c r="A128" s="6">
        <v>8.0399999999999991</v>
      </c>
      <c r="B128" s="33"/>
      <c r="C128" s="33" t="s">
        <v>1919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MAT</v>
      </c>
    </row>
    <row r="129" spans="1:36" ht="12.75">
      <c r="A129" s="6">
        <v>8.0500000000000007</v>
      </c>
      <c r="B129" s="33" t="s">
        <v>32</v>
      </c>
      <c r="C129" s="33" t="s">
        <v>46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MAT</v>
      </c>
    </row>
    <row r="130" spans="1:36" ht="12.75">
      <c r="A130" s="6">
        <v>8.06</v>
      </c>
      <c r="B130" s="33" t="s">
        <v>32</v>
      </c>
      <c r="C130" s="33" t="s">
        <v>46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MAT</v>
      </c>
    </row>
    <row r="131" spans="1:36" ht="12.75">
      <c r="A131" s="6">
        <v>8.07</v>
      </c>
      <c r="B131" s="33" t="s">
        <v>32</v>
      </c>
      <c r="C131" s="33" t="s">
        <v>46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MAT</v>
      </c>
    </row>
    <row r="132" spans="1:36" ht="12.75">
      <c r="A132" s="6">
        <v>8.08</v>
      </c>
      <c r="B132" s="33" t="s">
        <v>32</v>
      </c>
      <c r="C132" s="33" t="s">
        <v>46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MAT</v>
      </c>
    </row>
    <row r="133" spans="1:36" ht="12.75">
      <c r="A133" s="6">
        <v>8.09</v>
      </c>
      <c r="B133" s="33"/>
      <c r="C133" s="33" t="s">
        <v>39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MAT</v>
      </c>
    </row>
    <row r="134" spans="1:36" ht="12.75">
      <c r="A134" s="6">
        <v>8.1</v>
      </c>
      <c r="B134" s="33"/>
      <c r="C134" s="33" t="s">
        <v>39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MAT</v>
      </c>
    </row>
    <row r="135" spans="1:36" ht="12.75">
      <c r="A135" s="6">
        <v>8.11</v>
      </c>
      <c r="B135" s="33"/>
      <c r="C135" s="33" t="s">
        <v>39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MAT</v>
      </c>
    </row>
    <row r="136" spans="1:36" ht="12.75">
      <c r="A136" s="6">
        <v>8.1199999999999992</v>
      </c>
      <c r="B136" s="33"/>
      <c r="C136" s="33" t="s">
        <v>39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MAT</v>
      </c>
    </row>
    <row r="137" spans="1:36" ht="12.75">
      <c r="A137" s="6">
        <v>8.1300000000000008</v>
      </c>
      <c r="B137" s="33"/>
      <c r="C137" s="33" t="s">
        <v>33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MAT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33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MAT</v>
      </c>
    </row>
    <row r="140" spans="1:36" ht="12.75">
      <c r="A140" s="6">
        <v>8.16</v>
      </c>
      <c r="B140" s="33"/>
      <c r="C140" s="33" t="s">
        <v>33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MAT</v>
      </c>
    </row>
    <row r="141" spans="1:36" ht="12.75">
      <c r="A141" s="6">
        <v>8.17</v>
      </c>
      <c r="B141" s="33"/>
      <c r="C141" s="33" t="s">
        <v>33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MAT</v>
      </c>
    </row>
    <row r="142" spans="1:36" ht="12.75">
      <c r="A142" s="6">
        <v>8.18</v>
      </c>
      <c r="B142" s="33" t="s">
        <v>32</v>
      </c>
      <c r="C142" s="33" t="s">
        <v>41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MAT</v>
      </c>
    </row>
    <row r="143" spans="1:36" ht="12.75">
      <c r="A143" s="6">
        <v>8.19</v>
      </c>
      <c r="B143" s="33" t="s">
        <v>32</v>
      </c>
      <c r="C143" s="33" t="s">
        <v>41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MAT</v>
      </c>
    </row>
    <row r="144" spans="1:36" ht="12.75">
      <c r="A144" s="6">
        <v>8.1999999999999993</v>
      </c>
      <c r="B144" s="33" t="s">
        <v>32</v>
      </c>
      <c r="C144" s="33" t="s">
        <v>41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MAT</v>
      </c>
    </row>
    <row r="145" spans="1:36" ht="12.75">
      <c r="A145" s="6">
        <v>8.2100000000000009</v>
      </c>
      <c r="B145" s="33" t="s">
        <v>32</v>
      </c>
      <c r="C145" s="33" t="s">
        <v>44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MAT</v>
      </c>
    </row>
    <row r="146" spans="1:36" ht="12.75">
      <c r="A146" s="6">
        <v>8.2200000000000006</v>
      </c>
      <c r="B146" s="33" t="s">
        <v>32</v>
      </c>
      <c r="C146" s="33" t="s">
        <v>44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MAT</v>
      </c>
    </row>
    <row r="147" spans="1:36" ht="12.75">
      <c r="A147" s="6">
        <v>8.23</v>
      </c>
      <c r="B147" s="33" t="s">
        <v>32</v>
      </c>
      <c r="C147" s="33" t="s">
        <v>44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MAT</v>
      </c>
    </row>
    <row r="148" spans="1:36" ht="12.75">
      <c r="A148" s="6">
        <v>8.24</v>
      </c>
      <c r="B148" s="33" t="s">
        <v>32</v>
      </c>
      <c r="C148" s="33" t="s">
        <v>44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MAT</v>
      </c>
    </row>
    <row r="149" spans="1:36" ht="12.75">
      <c r="A149" s="6">
        <v>8.25</v>
      </c>
      <c r="B149" s="33"/>
      <c r="C149" s="33" t="s">
        <v>12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MAT</v>
      </c>
    </row>
    <row r="150" spans="1:36" ht="12.75">
      <c r="A150" s="6">
        <v>8.26</v>
      </c>
      <c r="B150" s="33"/>
      <c r="C150" s="33" t="s">
        <v>12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MAT</v>
      </c>
    </row>
    <row r="151" spans="1:36" ht="12.75">
      <c r="A151" s="6">
        <v>8.27</v>
      </c>
      <c r="B151" s="33"/>
      <c r="C151" s="33" t="s">
        <v>12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MAT</v>
      </c>
    </row>
    <row r="152" spans="1:36" ht="12.75">
      <c r="A152" s="6">
        <v>8.2799999999999994</v>
      </c>
      <c r="B152" s="33"/>
      <c r="C152" s="33" t="s">
        <v>12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MAT</v>
      </c>
    </row>
    <row r="153" spans="1:36" ht="12.75">
      <c r="A153" s="6">
        <v>8.2899999999999991</v>
      </c>
      <c r="B153" s="33"/>
      <c r="C153" s="33" t="s">
        <v>48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MAT</v>
      </c>
    </row>
    <row r="154" spans="1:36" ht="12.75">
      <c r="A154" s="6">
        <v>8.3000000000000007</v>
      </c>
      <c r="B154" s="33"/>
      <c r="C154" s="33" t="s">
        <v>48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MAT</v>
      </c>
    </row>
    <row r="155" spans="1:36" ht="12.75">
      <c r="A155" s="6">
        <v>8.31</v>
      </c>
      <c r="B155" s="33"/>
      <c r="C155" s="33" t="s">
        <v>48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MAT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1191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MAT</v>
      </c>
    </row>
    <row r="158" spans="1:36" ht="12.75">
      <c r="A158" s="6">
        <v>9.0299999999999994</v>
      </c>
      <c r="B158" s="33" t="s">
        <v>32</v>
      </c>
      <c r="C158" s="33" t="s">
        <v>1191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MAT</v>
      </c>
    </row>
    <row r="159" spans="1:36" ht="12.75">
      <c r="A159" s="6">
        <v>9.0399999999999991</v>
      </c>
      <c r="B159" s="33" t="s">
        <v>32</v>
      </c>
      <c r="C159" s="33" t="s">
        <v>1191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MAT</v>
      </c>
    </row>
    <row r="160" spans="1:36" ht="12.75">
      <c r="A160" s="6">
        <v>9.0500000000000007</v>
      </c>
      <c r="B160" s="33"/>
      <c r="C160" s="33" t="s">
        <v>1918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MAT</v>
      </c>
    </row>
    <row r="161" spans="1:36" ht="12.75">
      <c r="A161" s="6">
        <v>9.06</v>
      </c>
      <c r="B161" s="33"/>
      <c r="C161" s="33" t="s">
        <v>1918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MAT</v>
      </c>
    </row>
    <row r="162" spans="1:36" ht="12.75">
      <c r="A162" s="6">
        <v>9.07</v>
      </c>
      <c r="B162" s="33"/>
      <c r="C162" s="33" t="s">
        <v>1918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MAT</v>
      </c>
    </row>
    <row r="163" spans="1:36" ht="12.75">
      <c r="A163" s="6">
        <v>9.08</v>
      </c>
      <c r="B163" s="33"/>
      <c r="C163" s="33" t="s">
        <v>17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MAT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17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MAT</v>
      </c>
    </row>
    <row r="166" spans="1:36" ht="12.75">
      <c r="A166" s="6">
        <v>9.11</v>
      </c>
      <c r="B166" s="33"/>
      <c r="C166" s="33" t="s">
        <v>17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MAT</v>
      </c>
    </row>
    <row r="167" spans="1:36" ht="12.75">
      <c r="A167" s="6">
        <v>9.1199999999999992</v>
      </c>
      <c r="B167" s="32" t="s">
        <v>32</v>
      </c>
      <c r="C167" s="33" t="s">
        <v>34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MAT</v>
      </c>
    </row>
    <row r="168" spans="1:36" ht="12.75">
      <c r="A168" s="6">
        <v>9.1300000000000008</v>
      </c>
      <c r="B168" s="32" t="s">
        <v>32</v>
      </c>
      <c r="C168" s="33" t="s">
        <v>34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MAT</v>
      </c>
    </row>
    <row r="169" spans="1:36" ht="12.75">
      <c r="A169" s="6">
        <v>9.14</v>
      </c>
      <c r="B169" s="32" t="s">
        <v>32</v>
      </c>
      <c r="C169" s="33" t="s">
        <v>34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MAT</v>
      </c>
    </row>
    <row r="170" spans="1:36" ht="12.75">
      <c r="A170" s="6">
        <v>9.15</v>
      </c>
      <c r="B170" s="32" t="s">
        <v>32</v>
      </c>
      <c r="C170" s="33" t="s">
        <v>34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MAT</v>
      </c>
    </row>
    <row r="171" spans="1:36" ht="12.75">
      <c r="A171" s="6">
        <v>9.16</v>
      </c>
      <c r="B171" s="33" t="s">
        <v>32</v>
      </c>
      <c r="C171" s="33" t="s">
        <v>1919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MAT</v>
      </c>
    </row>
    <row r="172" spans="1:36" ht="12.75">
      <c r="A172" s="6">
        <v>9.17</v>
      </c>
      <c r="B172" s="33" t="s">
        <v>32</v>
      </c>
      <c r="C172" s="33" t="s">
        <v>1919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MAT</v>
      </c>
    </row>
    <row r="173" spans="1:36" ht="12.75">
      <c r="A173" s="6">
        <v>9.18</v>
      </c>
      <c r="B173" s="33" t="s">
        <v>32</v>
      </c>
      <c r="C173" s="33" t="s">
        <v>1919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MAT</v>
      </c>
    </row>
    <row r="174" spans="1:36" ht="12.75">
      <c r="A174" s="6">
        <v>9.19</v>
      </c>
      <c r="B174" s="33" t="s">
        <v>32</v>
      </c>
      <c r="C174" s="33" t="s">
        <v>51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MAT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3" t="s">
        <v>32</v>
      </c>
      <c r="C176" s="33" t="s">
        <v>51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MAT</v>
      </c>
    </row>
    <row r="177" spans="1:36" ht="12.75">
      <c r="A177" s="6">
        <v>9.2200000000000006</v>
      </c>
      <c r="B177" s="33" t="s">
        <v>32</v>
      </c>
      <c r="C177" s="33" t="s">
        <v>51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MAT</v>
      </c>
    </row>
    <row r="178" spans="1:36" ht="12.75">
      <c r="A178" s="6">
        <v>9.23</v>
      </c>
      <c r="B178" s="33" t="s">
        <v>32</v>
      </c>
      <c r="C178" s="33" t="s">
        <v>51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MAT</v>
      </c>
    </row>
    <row r="179" spans="1:36" ht="12.75">
      <c r="A179" s="6">
        <v>9.24</v>
      </c>
      <c r="B179" s="33" t="s">
        <v>32</v>
      </c>
      <c r="C179" s="33" t="s">
        <v>13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MAT</v>
      </c>
    </row>
    <row r="180" spans="1:36" ht="12.75">
      <c r="A180" s="6">
        <v>9.25</v>
      </c>
      <c r="B180" s="33" t="s">
        <v>32</v>
      </c>
      <c r="C180" s="33" t="s">
        <v>13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MAT</v>
      </c>
    </row>
    <row r="181" spans="1:36" ht="12.75">
      <c r="A181" s="6">
        <v>9.26</v>
      </c>
      <c r="B181" s="33" t="s">
        <v>32</v>
      </c>
      <c r="C181" s="33" t="s">
        <v>13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MAT</v>
      </c>
    </row>
    <row r="182" spans="1:36" ht="12.75">
      <c r="A182" s="6">
        <v>9.27</v>
      </c>
      <c r="B182" s="33"/>
      <c r="C182" s="33" t="s">
        <v>47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MAT</v>
      </c>
    </row>
    <row r="183" spans="1:36" ht="12.75">
      <c r="A183" s="6">
        <v>9.2799999999999994</v>
      </c>
      <c r="B183" s="33"/>
      <c r="C183" s="33" t="s">
        <v>47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MAT</v>
      </c>
    </row>
    <row r="184" spans="1:36" ht="12.75">
      <c r="A184" s="6">
        <v>9.2899999999999991</v>
      </c>
      <c r="B184" s="33"/>
      <c r="C184" s="33" t="s">
        <v>47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MAT</v>
      </c>
    </row>
    <row r="185" spans="1:36" ht="12.75">
      <c r="A185" s="6">
        <v>9.3000000000000007</v>
      </c>
      <c r="B185" s="33"/>
      <c r="C185" s="33" t="s">
        <v>47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MAT</v>
      </c>
    </row>
    <row r="186" spans="1:36">
      <c r="A186" s="6"/>
      <c r="B186" s="6"/>
      <c r="D186" s="4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6"/>
      <c r="B190" s="6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A191" s="6"/>
      <c r="B191" s="6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Q191" s="5"/>
      <c r="R191" s="10"/>
      <c r="AJ191" s="2"/>
    </row>
    <row r="192" spans="1:36">
      <c r="A192" s="6"/>
      <c r="B192" s="6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Q192" s="5"/>
      <c r="R192" s="10"/>
      <c r="AJ192" s="2"/>
    </row>
    <row r="193" spans="1:36">
      <c r="A193" s="6"/>
      <c r="B193" s="6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Q193" s="5"/>
      <c r="R193" s="10"/>
      <c r="AJ193" s="2"/>
    </row>
    <row r="194" spans="1:36">
      <c r="K194" s="2"/>
      <c r="AJ194" s="2"/>
    </row>
    <row r="195" spans="1:36">
      <c r="K195" s="2"/>
      <c r="AJ195" s="2"/>
    </row>
    <row r="196" spans="1:36">
      <c r="K196" s="2"/>
      <c r="AJ196" s="2"/>
    </row>
    <row r="197" spans="1:36">
      <c r="K197" s="2"/>
      <c r="AJ197" s="2"/>
    </row>
    <row r="198" spans="1:36">
      <c r="K198" s="2"/>
      <c r="AJ198" s="2"/>
    </row>
    <row r="199" spans="1:36">
      <c r="K199" s="2"/>
      <c r="AJ199" s="2"/>
    </row>
    <row r="200" spans="1:36">
      <c r="K200" s="2"/>
      <c r="AJ200" s="2"/>
    </row>
    <row r="201" spans="1:36">
      <c r="K201" s="2"/>
      <c r="AJ201" s="2"/>
    </row>
    <row r="202" spans="1:36">
      <c r="K202" s="2"/>
      <c r="AJ202" s="2"/>
    </row>
    <row r="203" spans="1:36">
      <c r="K203" s="2"/>
      <c r="AJ203" s="2"/>
    </row>
    <row r="204" spans="1:36">
      <c r="AJ204" s="2"/>
    </row>
    <row r="205" spans="1:36">
      <c r="AJ205" s="2"/>
    </row>
    <row r="206" spans="1:36">
      <c r="AJ206" s="2"/>
    </row>
    <row r="207" spans="1:36">
      <c r="AJ207" s="2"/>
    </row>
    <row r="208" spans="1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4895" priority="1258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94" priority="1259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4893" priority="1260" stopIfTrue="1" operator="equal">
      <formula>"input a different starter in column C"</formula>
    </cfRule>
  </conditionalFormatting>
  <conditionalFormatting sqref="AK23">
    <cfRule type="cellIs" dxfId="4892" priority="1262" stopIfTrue="1" operator="equal">
      <formula>"must have 162 starts"</formula>
    </cfRule>
  </conditionalFormatting>
  <conditionalFormatting sqref="AH3:AH22">
    <cfRule type="cellIs" dxfId="4891" priority="368" stopIfTrue="1" operator="equal">
      <formula>"must average at least 5 innings per start"</formula>
    </cfRule>
  </conditionalFormatting>
  <conditionalFormatting sqref="AH23">
    <cfRule type="cellIs" dxfId="4890" priority="367" stopIfTrue="1" operator="equal">
      <formula>"must have 162 starts"</formula>
    </cfRule>
  </conditionalFormatting>
  <conditionalFormatting sqref="AG3:AG22">
    <cfRule type="cellIs" dxfId="4889" priority="366" stopIfTrue="1" operator="equal">
      <formula>"must average at least 5 innings per start"</formula>
    </cfRule>
  </conditionalFormatting>
  <conditionalFormatting sqref="AG23">
    <cfRule type="cellIs" dxfId="4888" priority="365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87" priority="36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86" priority="36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85" priority="36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84" priority="36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83" priority="36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82" priority="35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81" priority="35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80" priority="35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9" priority="35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8" priority="35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7" priority="35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6" priority="35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5" priority="35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4" priority="35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3" priority="35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2" priority="34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1" priority="34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70" priority="34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69" priority="34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68" priority="34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867" priority="344" stopIfTrue="1" operator="equal">
      <formula>"input starter in column C"</formula>
    </cfRule>
  </conditionalFormatting>
  <conditionalFormatting sqref="P3">
    <cfRule type="cellIs" dxfId="4866" priority="343" stopIfTrue="1" operator="equal">
      <formula>"input starter in column D"</formula>
    </cfRule>
  </conditionalFormatting>
  <conditionalFormatting sqref="P4">
    <cfRule type="cellIs" dxfId="4865" priority="342" stopIfTrue="1" operator="equal">
      <formula>"input starter in column D"</formula>
    </cfRule>
  </conditionalFormatting>
  <conditionalFormatting sqref="P5">
    <cfRule type="cellIs" dxfId="4864" priority="341" stopIfTrue="1" operator="equal">
      <formula>"INPUT STARTER IN COLUMN D"</formula>
    </cfRule>
  </conditionalFormatting>
  <conditionalFormatting sqref="P6">
    <cfRule type="cellIs" dxfId="4863" priority="340" stopIfTrue="1" operator="equal">
      <formula>"INPUT STARTER IN COLUMN D"</formula>
    </cfRule>
  </conditionalFormatting>
  <conditionalFormatting sqref="P8">
    <cfRule type="cellIs" dxfId="4862" priority="339" stopIfTrue="1" operator="equal">
      <formula>"INPUT STARTER IN COLUMN D"</formula>
    </cfRule>
  </conditionalFormatting>
  <conditionalFormatting sqref="P9">
    <cfRule type="cellIs" dxfId="4861" priority="338" stopIfTrue="1" operator="equal">
      <formula>"INPUT STARTER IN COLUMN D"</formula>
    </cfRule>
  </conditionalFormatting>
  <conditionalFormatting sqref="P10">
    <cfRule type="cellIs" dxfId="4860" priority="337" stopIfTrue="1" operator="equal">
      <formula>"INPUT STARTER IN COLUMN D"</formula>
    </cfRule>
  </conditionalFormatting>
  <conditionalFormatting sqref="P11">
    <cfRule type="cellIs" dxfId="4859" priority="336" stopIfTrue="1" operator="equal">
      <formula>"INPUT STARTER IN COLUMN D"</formula>
    </cfRule>
  </conditionalFormatting>
  <conditionalFormatting sqref="P13">
    <cfRule type="cellIs" dxfId="4858" priority="335" stopIfTrue="1" operator="equal">
      <formula>"INPUT STARTER IN COLUMN D"</formula>
    </cfRule>
  </conditionalFormatting>
  <conditionalFormatting sqref="P14">
    <cfRule type="cellIs" dxfId="4857" priority="334" stopIfTrue="1" operator="equal">
      <formula>"INPUT STARTER IN COLUMN D"</formula>
    </cfRule>
  </conditionalFormatting>
  <conditionalFormatting sqref="P15">
    <cfRule type="cellIs" dxfId="4856" priority="333" stopIfTrue="1" operator="equal">
      <formula>"INPUT STARTER IN COLUMN D"</formula>
    </cfRule>
  </conditionalFormatting>
  <conditionalFormatting sqref="P16">
    <cfRule type="cellIs" dxfId="4855" priority="332" stopIfTrue="1" operator="equal">
      <formula>"INPUT STARTER IN COLUMN D"</formula>
    </cfRule>
  </conditionalFormatting>
  <conditionalFormatting sqref="P18">
    <cfRule type="cellIs" dxfId="4854" priority="331" stopIfTrue="1" operator="equal">
      <formula>"INPUT STARTER IN COLUMN D"</formula>
    </cfRule>
  </conditionalFormatting>
  <conditionalFormatting sqref="P19">
    <cfRule type="cellIs" dxfId="4853" priority="330" stopIfTrue="1" operator="equal">
      <formula>"INPUT STARTER IN COLUMN D"</formula>
    </cfRule>
  </conditionalFormatting>
  <conditionalFormatting sqref="P20">
    <cfRule type="cellIs" dxfId="4852" priority="329" stopIfTrue="1" operator="equal">
      <formula>"INPUT STARTER IN COLUMN D"</formula>
    </cfRule>
  </conditionalFormatting>
  <conditionalFormatting sqref="P21">
    <cfRule type="cellIs" dxfId="4851" priority="328" stopIfTrue="1" operator="equal">
      <formula>"INPUT STARTER IN COLUMN D"</formula>
    </cfRule>
  </conditionalFormatting>
  <conditionalFormatting sqref="P23">
    <cfRule type="cellIs" dxfId="4850" priority="327" stopIfTrue="1" operator="equal">
      <formula>"INPUT STARTER IN COLUMN D"</formula>
    </cfRule>
  </conditionalFormatting>
  <conditionalFormatting sqref="P24">
    <cfRule type="cellIs" dxfId="4849" priority="326" stopIfTrue="1" operator="equal">
      <formula>"INPUT STARTER IN COLUMN D"</formula>
    </cfRule>
  </conditionalFormatting>
  <conditionalFormatting sqref="P25">
    <cfRule type="cellIs" dxfId="4848" priority="325" stopIfTrue="1" operator="equal">
      <formula>"INPUT STARTER IN COLUMN D"</formula>
    </cfRule>
  </conditionalFormatting>
  <conditionalFormatting sqref="P26">
    <cfRule type="cellIs" dxfId="4847" priority="324" stopIfTrue="1" operator="equal">
      <formula>"INPUT STARTER IN COLUMN D"</formula>
    </cfRule>
  </conditionalFormatting>
  <conditionalFormatting sqref="P28">
    <cfRule type="cellIs" dxfId="4846" priority="323" stopIfTrue="1" operator="equal">
      <formula>"INPUT STARTER IN COLUMN D"</formula>
    </cfRule>
  </conditionalFormatting>
  <conditionalFormatting sqref="P29">
    <cfRule type="cellIs" dxfId="4845" priority="322" stopIfTrue="1" operator="equal">
      <formula>"INPUT STARTER IN COLUMN D"</formula>
    </cfRule>
  </conditionalFormatting>
  <conditionalFormatting sqref="P30">
    <cfRule type="cellIs" dxfId="4844" priority="321" stopIfTrue="1" operator="equal">
      <formula>"INPUT STARTER IN COLUMN D"</formula>
    </cfRule>
  </conditionalFormatting>
  <conditionalFormatting sqref="P31">
    <cfRule type="cellIs" dxfId="4843" priority="320" stopIfTrue="1" operator="equal">
      <formula>"INPUT STARTER IN COLUMN D"</formula>
    </cfRule>
  </conditionalFormatting>
  <conditionalFormatting sqref="P33">
    <cfRule type="cellIs" dxfId="4842" priority="319" stopIfTrue="1" operator="equal">
      <formula>"INPUT STARTER IN COLUMN D"</formula>
    </cfRule>
  </conditionalFormatting>
  <conditionalFormatting sqref="P34">
    <cfRule type="cellIs" dxfId="4841" priority="318" stopIfTrue="1" operator="equal">
      <formula>"INPUT STARTER IN COLUMN D"</formula>
    </cfRule>
  </conditionalFormatting>
  <conditionalFormatting sqref="P35">
    <cfRule type="cellIs" dxfId="4840" priority="317" stopIfTrue="1" operator="equal">
      <formula>"INPUT STARTER IN COLUMN D"</formula>
    </cfRule>
  </conditionalFormatting>
  <conditionalFormatting sqref="P36">
    <cfRule type="cellIs" dxfId="4839" priority="316" stopIfTrue="1" operator="equal">
      <formula>"INPUT STARTER IN COLUMN D"</formula>
    </cfRule>
  </conditionalFormatting>
  <conditionalFormatting sqref="P37">
    <cfRule type="cellIs" dxfId="4838" priority="315" stopIfTrue="1" operator="equal">
      <formula>"INPUT STARTER IN COLUMN D"</formula>
    </cfRule>
  </conditionalFormatting>
  <conditionalFormatting sqref="P38">
    <cfRule type="cellIs" dxfId="4837" priority="314" stopIfTrue="1" operator="equal">
      <formula>"INPUT STARTER IN COLUMN D"</formula>
    </cfRule>
  </conditionalFormatting>
  <conditionalFormatting sqref="P39">
    <cfRule type="cellIs" dxfId="4836" priority="313" stopIfTrue="1" operator="equal">
      <formula>"INPUT STARTER IN COLUMN D"</formula>
    </cfRule>
  </conditionalFormatting>
  <conditionalFormatting sqref="P40">
    <cfRule type="cellIs" dxfId="4835" priority="312" stopIfTrue="1" operator="equal">
      <formula>"INPUT STARTER IN COLUMN D"</formula>
    </cfRule>
  </conditionalFormatting>
  <conditionalFormatting sqref="P42">
    <cfRule type="cellIs" dxfId="4834" priority="311" stopIfTrue="1" operator="equal">
      <formula>"INPUT STARTER IN COLUMN D"</formula>
    </cfRule>
  </conditionalFormatting>
  <conditionalFormatting sqref="P43">
    <cfRule type="cellIs" dxfId="4833" priority="310" stopIfTrue="1" operator="equal">
      <formula>"INPUT STARTER IN COLUMN D"</formula>
    </cfRule>
  </conditionalFormatting>
  <conditionalFormatting sqref="P44">
    <cfRule type="cellIs" dxfId="4832" priority="309" stopIfTrue="1" operator="equal">
      <formula>"INPUT STARTER IN COLUMN D"</formula>
    </cfRule>
  </conditionalFormatting>
  <conditionalFormatting sqref="P45">
    <cfRule type="cellIs" dxfId="4831" priority="308" stopIfTrue="1" operator="equal">
      <formula>"INPUT STARTER IN COLUMN D"</formula>
    </cfRule>
  </conditionalFormatting>
  <conditionalFormatting sqref="P46">
    <cfRule type="cellIs" dxfId="4830" priority="307" stopIfTrue="1" operator="equal">
      <formula>"INPUT STARTER IN COLUMN D"</formula>
    </cfRule>
  </conditionalFormatting>
  <conditionalFormatting sqref="P47">
    <cfRule type="cellIs" dxfId="4829" priority="306" stopIfTrue="1" operator="equal">
      <formula>"INPUT STARTER IN COLUMN D"</formula>
    </cfRule>
  </conditionalFormatting>
  <conditionalFormatting sqref="P49">
    <cfRule type="cellIs" dxfId="4828" priority="305" stopIfTrue="1" operator="equal">
      <formula>"INPUT STARTER IN COLUMN D"</formula>
    </cfRule>
  </conditionalFormatting>
  <conditionalFormatting sqref="P50">
    <cfRule type="cellIs" dxfId="4827" priority="304" stopIfTrue="1" operator="equal">
      <formula>"INPUT STARTER IN COLUMN D"</formula>
    </cfRule>
  </conditionalFormatting>
  <conditionalFormatting sqref="P51">
    <cfRule type="cellIs" dxfId="4826" priority="303" stopIfTrue="1" operator="equal">
      <formula>"INPUT STARTER IN COLUMN D"</formula>
    </cfRule>
  </conditionalFormatting>
  <conditionalFormatting sqref="P52">
    <cfRule type="cellIs" dxfId="4825" priority="302" stopIfTrue="1" operator="equal">
      <formula>"INPUT STARTER IN COLUMN D"</formula>
    </cfRule>
  </conditionalFormatting>
  <conditionalFormatting sqref="P53">
    <cfRule type="cellIs" dxfId="4824" priority="301" stopIfTrue="1" operator="equal">
      <formula>"INPUT STARTER IN COLUMN D"</formula>
    </cfRule>
  </conditionalFormatting>
  <conditionalFormatting sqref="P54">
    <cfRule type="cellIs" dxfId="4823" priority="300" stopIfTrue="1" operator="equal">
      <formula>"INPUT STARTER IN COLUMN D"</formula>
    </cfRule>
  </conditionalFormatting>
  <conditionalFormatting sqref="P56">
    <cfRule type="cellIs" dxfId="4822" priority="299" stopIfTrue="1" operator="equal">
      <formula>"INPUT STARTER IN COLUMN D"</formula>
    </cfRule>
  </conditionalFormatting>
  <conditionalFormatting sqref="P57">
    <cfRule type="cellIs" dxfId="4821" priority="298" stopIfTrue="1" operator="equal">
      <formula>"INPUT STARTER IN COLUMN D"</formula>
    </cfRule>
  </conditionalFormatting>
  <conditionalFormatting sqref="P58">
    <cfRule type="cellIs" dxfId="4820" priority="297" stopIfTrue="1" operator="equal">
      <formula>"INPUT STARTER IN COLUMN D"</formula>
    </cfRule>
  </conditionalFormatting>
  <conditionalFormatting sqref="P59">
    <cfRule type="cellIs" dxfId="4819" priority="296" stopIfTrue="1" operator="equal">
      <formula>"INPUT STARTER IN COLUMN D"</formula>
    </cfRule>
  </conditionalFormatting>
  <conditionalFormatting sqref="P60">
    <cfRule type="cellIs" dxfId="4818" priority="295" stopIfTrue="1" operator="equal">
      <formula>"INPUT STARTER IN COLUMN D"</formula>
    </cfRule>
  </conditionalFormatting>
  <conditionalFormatting sqref="P61">
    <cfRule type="cellIs" dxfId="4817" priority="294" stopIfTrue="1" operator="equal">
      <formula>"INPUT STARTER IN COLUMN D"</formula>
    </cfRule>
  </conditionalFormatting>
  <conditionalFormatting sqref="P63">
    <cfRule type="cellIs" dxfId="4816" priority="293" stopIfTrue="1" operator="equal">
      <formula>"INPUT STARTER IN COLUMN D"</formula>
    </cfRule>
  </conditionalFormatting>
  <conditionalFormatting sqref="P64">
    <cfRule type="cellIs" dxfId="4815" priority="292" stopIfTrue="1" operator="equal">
      <formula>"INPUT STARTER IN COLUMN D"</formula>
    </cfRule>
  </conditionalFormatting>
  <conditionalFormatting sqref="P65">
    <cfRule type="cellIs" dxfId="4814" priority="291" stopIfTrue="1" operator="equal">
      <formula>"INPUT STARTER IN COLUMN D"</formula>
    </cfRule>
  </conditionalFormatting>
  <conditionalFormatting sqref="P66">
    <cfRule type="cellIs" dxfId="4813" priority="290" stopIfTrue="1" operator="equal">
      <formula>"INPUT STARTER IN COLUMN D"</formula>
    </cfRule>
  </conditionalFormatting>
  <conditionalFormatting sqref="P67">
    <cfRule type="cellIs" dxfId="4812" priority="289" stopIfTrue="1" operator="equal">
      <formula>"INPUT STARTER IN COLUMN D"</formula>
    </cfRule>
  </conditionalFormatting>
  <conditionalFormatting sqref="P68">
    <cfRule type="cellIs" dxfId="4811" priority="288" stopIfTrue="1" operator="equal">
      <formula>"INPUT STARTER IN COLUMN D"</formula>
    </cfRule>
  </conditionalFormatting>
  <conditionalFormatting sqref="P69">
    <cfRule type="cellIs" dxfId="4810" priority="287" stopIfTrue="1" operator="equal">
      <formula>"INPUT STARTER IN COLUMN D"</formula>
    </cfRule>
  </conditionalFormatting>
  <conditionalFormatting sqref="P71">
    <cfRule type="cellIs" dxfId="4809" priority="286" stopIfTrue="1" operator="equal">
      <formula>"INPUT STARTER IN COLUMN D"</formula>
    </cfRule>
  </conditionalFormatting>
  <conditionalFormatting sqref="P72">
    <cfRule type="cellIs" dxfId="4808" priority="285" stopIfTrue="1" operator="equal">
      <formula>"INPUT STARTER IN COLUMN D"</formula>
    </cfRule>
  </conditionalFormatting>
  <conditionalFormatting sqref="P73">
    <cfRule type="cellIs" dxfId="4807" priority="284" stopIfTrue="1" operator="equal">
      <formula>"INPUT STARTER IN COLUMN D"</formula>
    </cfRule>
  </conditionalFormatting>
  <conditionalFormatting sqref="P74">
    <cfRule type="cellIs" dxfId="4806" priority="283" stopIfTrue="1" operator="equal">
      <formula>"INPUT STARTER IN COLUMN D"</formula>
    </cfRule>
  </conditionalFormatting>
  <conditionalFormatting sqref="P75">
    <cfRule type="cellIs" dxfId="4805" priority="282" stopIfTrue="1" operator="equal">
      <formula>"INPUT STARTER IN COLUMN D"</formula>
    </cfRule>
  </conditionalFormatting>
  <conditionalFormatting sqref="P76">
    <cfRule type="cellIs" dxfId="4804" priority="281" stopIfTrue="1" operator="equal">
      <formula>"INPUT STARTER IN COLUMN D"</formula>
    </cfRule>
  </conditionalFormatting>
  <conditionalFormatting sqref="P77">
    <cfRule type="cellIs" dxfId="4803" priority="280" stopIfTrue="1" operator="equal">
      <formula>"INPUT STARTER IN COLUMN D"</formula>
    </cfRule>
  </conditionalFormatting>
  <conditionalFormatting sqref="P78">
    <cfRule type="cellIs" dxfId="4802" priority="279" stopIfTrue="1" operator="equal">
      <formula>"INPUT STARTER IN COLUMN D"</formula>
    </cfRule>
  </conditionalFormatting>
  <conditionalFormatting sqref="P79">
    <cfRule type="cellIs" dxfId="4801" priority="278" stopIfTrue="1" operator="equal">
      <formula>"INPUT STARTER IN COLUMN D"</formula>
    </cfRule>
  </conditionalFormatting>
  <conditionalFormatting sqref="P80">
    <cfRule type="cellIs" dxfId="4800" priority="277" stopIfTrue="1" operator="equal">
      <formula>"INPUT STARTER IN COLUMN D"</formula>
    </cfRule>
  </conditionalFormatting>
  <conditionalFormatting sqref="P81">
    <cfRule type="cellIs" dxfId="4799" priority="276" stopIfTrue="1" operator="equal">
      <formula>"INPUT STARTER IN COLUMN D"</formula>
    </cfRule>
  </conditionalFormatting>
  <conditionalFormatting sqref="P82">
    <cfRule type="cellIs" dxfId="4798" priority="275" stopIfTrue="1" operator="equal">
      <formula>"INPUT STARTER IN COLUMN D"</formula>
    </cfRule>
  </conditionalFormatting>
  <conditionalFormatting sqref="P84">
    <cfRule type="cellIs" dxfId="4797" priority="274" stopIfTrue="1" operator="equal">
      <formula>"INPUT STARTER IN COLUMN D"</formula>
    </cfRule>
  </conditionalFormatting>
  <conditionalFormatting sqref="P85">
    <cfRule type="cellIs" dxfId="4796" priority="273" stopIfTrue="1" operator="equal">
      <formula>"INPUT STARTER IN COLUMN D"</formula>
    </cfRule>
  </conditionalFormatting>
  <conditionalFormatting sqref="P86">
    <cfRule type="cellIs" dxfId="4795" priority="272" stopIfTrue="1" operator="equal">
      <formula>"INPUT STARTER IN COLUMN D"</formula>
    </cfRule>
  </conditionalFormatting>
  <conditionalFormatting sqref="P87">
    <cfRule type="cellIs" dxfId="4794" priority="271" stopIfTrue="1" operator="equal">
      <formula>"INPUT STARTER IN COLUMN D"</formula>
    </cfRule>
  </conditionalFormatting>
  <conditionalFormatting sqref="P88">
    <cfRule type="cellIs" dxfId="4793" priority="270" stopIfTrue="1" operator="equal">
      <formula>"INPUT STARTER IN COLUMN D"</formula>
    </cfRule>
  </conditionalFormatting>
  <conditionalFormatting sqref="P89">
    <cfRule type="cellIs" dxfId="4792" priority="269" stopIfTrue="1" operator="equal">
      <formula>"INPUT STARTER IN COLUMN D"</formula>
    </cfRule>
  </conditionalFormatting>
  <conditionalFormatting sqref="P91">
    <cfRule type="cellIs" dxfId="4791" priority="268" stopIfTrue="1" operator="equal">
      <formula>"INPUT STARTER IN COLUMN D"</formula>
    </cfRule>
  </conditionalFormatting>
  <conditionalFormatting sqref="P92">
    <cfRule type="cellIs" dxfId="4790" priority="267" stopIfTrue="1" operator="equal">
      <formula>"INPUT STARTER IN COLUMN D"</formula>
    </cfRule>
  </conditionalFormatting>
  <conditionalFormatting sqref="P93">
    <cfRule type="cellIs" dxfId="4789" priority="266" stopIfTrue="1" operator="equal">
      <formula>"INPUT STARTER IN COLUMN D"</formula>
    </cfRule>
  </conditionalFormatting>
  <conditionalFormatting sqref="P94">
    <cfRule type="cellIs" dxfId="4788" priority="265" stopIfTrue="1" operator="equal">
      <formula>"INPUT STARTER IN COLUMN D"</formula>
    </cfRule>
  </conditionalFormatting>
  <conditionalFormatting sqref="P95">
    <cfRule type="cellIs" dxfId="4787" priority="264" stopIfTrue="1" operator="equal">
      <formula>"INPUT STARTER IN COLUMN D"</formula>
    </cfRule>
  </conditionalFormatting>
  <conditionalFormatting sqref="P96">
    <cfRule type="cellIs" dxfId="4786" priority="263" stopIfTrue="1" operator="equal">
      <formula>"INPUT STARTER IN COLUMN D"</formula>
    </cfRule>
  </conditionalFormatting>
  <conditionalFormatting sqref="P97">
    <cfRule type="cellIs" dxfId="4785" priority="262" stopIfTrue="1" operator="equal">
      <formula>"INPUT STARTER IN COLUMN D"</formula>
    </cfRule>
  </conditionalFormatting>
  <conditionalFormatting sqref="P98">
    <cfRule type="cellIs" dxfId="4784" priority="261" stopIfTrue="1" operator="equal">
      <formula>"INPUT STARTER IN COLUMN D"</formula>
    </cfRule>
  </conditionalFormatting>
  <conditionalFormatting sqref="P99">
    <cfRule type="cellIs" dxfId="4783" priority="260" stopIfTrue="1" operator="equal">
      <formula>"INPUT STARTER IN COLUMN D"</formula>
    </cfRule>
  </conditionalFormatting>
  <conditionalFormatting sqref="P100">
    <cfRule type="cellIs" dxfId="4782" priority="259" stopIfTrue="1" operator="equal">
      <formula>"INPUT STARTER IN COLUMN D"</formula>
    </cfRule>
  </conditionalFormatting>
  <conditionalFormatting sqref="P101">
    <cfRule type="cellIs" dxfId="4781" priority="258" stopIfTrue="1" operator="equal">
      <formula>"INPUT STARTER IN COLUMN D"</formula>
    </cfRule>
  </conditionalFormatting>
  <conditionalFormatting sqref="P102">
    <cfRule type="cellIs" dxfId="4780" priority="257" stopIfTrue="1" operator="equal">
      <formula>"INPUT STARTER IN COLUMN D"</formula>
    </cfRule>
  </conditionalFormatting>
  <conditionalFormatting sqref="P106">
    <cfRule type="cellIs" dxfId="4779" priority="256" stopIfTrue="1" operator="equal">
      <formula>"INPUT STARTER IN COLUMN D"</formula>
    </cfRule>
  </conditionalFormatting>
  <conditionalFormatting sqref="P107">
    <cfRule type="cellIs" dxfId="4778" priority="255" stopIfTrue="1" operator="equal">
      <formula>"INPUT STARTER IN COLUMN D"</formula>
    </cfRule>
  </conditionalFormatting>
  <conditionalFormatting sqref="P108">
    <cfRule type="cellIs" dxfId="4777" priority="254" stopIfTrue="1" operator="equal">
      <formula>"INPUT STARTER IN COLUMN D"</formula>
    </cfRule>
  </conditionalFormatting>
  <conditionalFormatting sqref="P109">
    <cfRule type="cellIs" dxfId="4776" priority="253" stopIfTrue="1" operator="equal">
      <formula>"INPUT STARTER IN COLUMN D"</formula>
    </cfRule>
  </conditionalFormatting>
  <conditionalFormatting sqref="P110">
    <cfRule type="cellIs" dxfId="4775" priority="252" stopIfTrue="1" operator="equal">
      <formula>"INPUT STARTER IN COLUMN D"</formula>
    </cfRule>
  </conditionalFormatting>
  <conditionalFormatting sqref="P111">
    <cfRule type="cellIs" dxfId="4774" priority="251" stopIfTrue="1" operator="equal">
      <formula>"INPUT STARTER IN COLUMN D"</formula>
    </cfRule>
  </conditionalFormatting>
  <conditionalFormatting sqref="P112">
    <cfRule type="cellIs" dxfId="4773" priority="250" stopIfTrue="1" operator="equal">
      <formula>"INPUT STARTER IN COLUMN D"</formula>
    </cfRule>
  </conditionalFormatting>
  <conditionalFormatting sqref="P113">
    <cfRule type="cellIs" dxfId="4772" priority="249" stopIfTrue="1" operator="equal">
      <formula>"INPUT STARTER IN COLUMN D"</formula>
    </cfRule>
  </conditionalFormatting>
  <conditionalFormatting sqref="P114">
    <cfRule type="cellIs" dxfId="4771" priority="248" stopIfTrue="1" operator="equal">
      <formula>"INPUT STARTER IN COLUMN D"</formula>
    </cfRule>
  </conditionalFormatting>
  <conditionalFormatting sqref="P115">
    <cfRule type="cellIs" dxfId="4770" priority="247" stopIfTrue="1" operator="equal">
      <formula>"INPUT STARTER IN COLUMN D"</formula>
    </cfRule>
  </conditionalFormatting>
  <conditionalFormatting sqref="P116">
    <cfRule type="cellIs" dxfId="4769" priority="246" stopIfTrue="1" operator="equal">
      <formula>"INPUT STARTER IN COLUMN D"</formula>
    </cfRule>
  </conditionalFormatting>
  <conditionalFormatting sqref="P117">
    <cfRule type="cellIs" dxfId="4768" priority="245" stopIfTrue="1" operator="equal">
      <formula>"INPUT STARTER IN COLUMN D"</formula>
    </cfRule>
  </conditionalFormatting>
  <conditionalFormatting sqref="P118">
    <cfRule type="cellIs" dxfId="4767" priority="244" stopIfTrue="1" operator="equal">
      <formula>"INPUT STARTER IN COLUMN D"</formula>
    </cfRule>
  </conditionalFormatting>
  <conditionalFormatting sqref="P119">
    <cfRule type="cellIs" dxfId="4766" priority="243" stopIfTrue="1" operator="equal">
      <formula>"INPUT STARTER IN COLUMN D"</formula>
    </cfRule>
  </conditionalFormatting>
  <conditionalFormatting sqref="P120">
    <cfRule type="cellIs" dxfId="4765" priority="242" stopIfTrue="1" operator="equal">
      <formula>"INPUT STARTER IN COLUMN D"</formula>
    </cfRule>
  </conditionalFormatting>
  <conditionalFormatting sqref="P121">
    <cfRule type="cellIs" dxfId="4764" priority="241" stopIfTrue="1" operator="equal">
      <formula>"INPUT STARTER IN COLUMN D"</formula>
    </cfRule>
  </conditionalFormatting>
  <conditionalFormatting sqref="P122">
    <cfRule type="cellIs" dxfId="4763" priority="240" stopIfTrue="1" operator="equal">
      <formula>"INPUT STARTER IN COLUMN D"</formula>
    </cfRule>
  </conditionalFormatting>
  <conditionalFormatting sqref="P123">
    <cfRule type="cellIs" dxfId="4762" priority="239" stopIfTrue="1" operator="equal">
      <formula>"INPUT STARTER IN COLUMN D"</formula>
    </cfRule>
  </conditionalFormatting>
  <conditionalFormatting sqref="P125">
    <cfRule type="cellIs" dxfId="4761" priority="238" stopIfTrue="1" operator="equal">
      <formula>"INPUT STARTER IN COLUMN D"</formula>
    </cfRule>
  </conditionalFormatting>
  <conditionalFormatting sqref="P126">
    <cfRule type="cellIs" dxfId="4760" priority="237" stopIfTrue="1" operator="equal">
      <formula>"INPUT STARTER IN COLUMN D"</formula>
    </cfRule>
  </conditionalFormatting>
  <conditionalFormatting sqref="P127">
    <cfRule type="cellIs" dxfId="4759" priority="236" stopIfTrue="1" operator="equal">
      <formula>"INPUT STARTER IN COLUMN D"</formula>
    </cfRule>
  </conditionalFormatting>
  <conditionalFormatting sqref="P128">
    <cfRule type="cellIs" dxfId="4758" priority="235" stopIfTrue="1" operator="equal">
      <formula>"INPUT STARTER IN COLUMN D"</formula>
    </cfRule>
  </conditionalFormatting>
  <conditionalFormatting sqref="P129">
    <cfRule type="cellIs" dxfId="4757" priority="234" stopIfTrue="1" operator="equal">
      <formula>"INPUT STARTER IN COLUMN D"</formula>
    </cfRule>
  </conditionalFormatting>
  <conditionalFormatting sqref="P130">
    <cfRule type="cellIs" dxfId="4756" priority="233" stopIfTrue="1" operator="equal">
      <formula>"INPUT STARTER IN COLUMN D"</formula>
    </cfRule>
  </conditionalFormatting>
  <conditionalFormatting sqref="P131">
    <cfRule type="cellIs" dxfId="4755" priority="232" stopIfTrue="1" operator="equal">
      <formula>"INPUT STARTER IN COLUMN D"</formula>
    </cfRule>
  </conditionalFormatting>
  <conditionalFormatting sqref="P132">
    <cfRule type="cellIs" dxfId="4754" priority="231" stopIfTrue="1" operator="equal">
      <formula>"INPUT STARTER IN COLUMN D"</formula>
    </cfRule>
  </conditionalFormatting>
  <conditionalFormatting sqref="P133">
    <cfRule type="cellIs" dxfId="4753" priority="230" stopIfTrue="1" operator="equal">
      <formula>"INPUT STARTER IN COLUMN D"</formula>
    </cfRule>
  </conditionalFormatting>
  <conditionalFormatting sqref="P134">
    <cfRule type="cellIs" dxfId="4752" priority="229" stopIfTrue="1" operator="equal">
      <formula>"INPUT STARTER IN COLUMN D"</formula>
    </cfRule>
  </conditionalFormatting>
  <conditionalFormatting sqref="P135">
    <cfRule type="cellIs" dxfId="4751" priority="228" stopIfTrue="1" operator="equal">
      <formula>"INPUT STARTER IN COLUMN D"</formula>
    </cfRule>
  </conditionalFormatting>
  <conditionalFormatting sqref="P136">
    <cfRule type="cellIs" dxfId="4750" priority="227" stopIfTrue="1" operator="equal">
      <formula>"INPUT STARTER IN COLUMN D"</formula>
    </cfRule>
  </conditionalFormatting>
  <conditionalFormatting sqref="P137">
    <cfRule type="cellIs" dxfId="4749" priority="226" stopIfTrue="1" operator="equal">
      <formula>"INPUT STARTER IN COLUMN D"</formula>
    </cfRule>
  </conditionalFormatting>
  <conditionalFormatting sqref="P139">
    <cfRule type="cellIs" dxfId="4748" priority="225" stopIfTrue="1" operator="equal">
      <formula>"INPUT STARTER IN COLUMN D"</formula>
    </cfRule>
  </conditionalFormatting>
  <conditionalFormatting sqref="P140">
    <cfRule type="cellIs" dxfId="4747" priority="224" stopIfTrue="1" operator="equal">
      <formula>"INPUT STARTER IN COLUMN D"</formula>
    </cfRule>
  </conditionalFormatting>
  <conditionalFormatting sqref="P141">
    <cfRule type="cellIs" dxfId="4746" priority="223" stopIfTrue="1" operator="equal">
      <formula>"INPUT STARTER IN COLUMN D"</formula>
    </cfRule>
  </conditionalFormatting>
  <conditionalFormatting sqref="P142">
    <cfRule type="cellIs" dxfId="4745" priority="222" stopIfTrue="1" operator="equal">
      <formula>"INPUT STARTER IN COLUMN D"</formula>
    </cfRule>
  </conditionalFormatting>
  <conditionalFormatting sqref="P143">
    <cfRule type="cellIs" dxfId="4744" priority="221" stopIfTrue="1" operator="equal">
      <formula>"INPUT STARTER IN COLUMN D"</formula>
    </cfRule>
  </conditionalFormatting>
  <conditionalFormatting sqref="P144">
    <cfRule type="cellIs" dxfId="4743" priority="220" stopIfTrue="1" operator="equal">
      <formula>"INPUT STARTER IN COLUMN D"</formula>
    </cfRule>
  </conditionalFormatting>
  <conditionalFormatting sqref="P145">
    <cfRule type="cellIs" dxfId="4742" priority="219" stopIfTrue="1" operator="equal">
      <formula>"INPUT STARTER IN COLUMN D"</formula>
    </cfRule>
  </conditionalFormatting>
  <conditionalFormatting sqref="P146">
    <cfRule type="cellIs" dxfId="4741" priority="218" stopIfTrue="1" operator="equal">
      <formula>"INPUT STARTER IN COLUMN D"</formula>
    </cfRule>
  </conditionalFormatting>
  <conditionalFormatting sqref="P147">
    <cfRule type="cellIs" dxfId="4740" priority="217" stopIfTrue="1" operator="equal">
      <formula>"INPUT STARTER IN COLUMN D"</formula>
    </cfRule>
  </conditionalFormatting>
  <conditionalFormatting sqref="P148">
    <cfRule type="cellIs" dxfId="4739" priority="216" stopIfTrue="1" operator="equal">
      <formula>"INPUT STARTER IN COLUMN D"</formula>
    </cfRule>
  </conditionalFormatting>
  <conditionalFormatting sqref="P149">
    <cfRule type="cellIs" dxfId="4738" priority="215" stopIfTrue="1" operator="equal">
      <formula>"INPUT STARTER IN COLUMN D"</formula>
    </cfRule>
  </conditionalFormatting>
  <conditionalFormatting sqref="P150">
    <cfRule type="cellIs" dxfId="4737" priority="214" stopIfTrue="1" operator="equal">
      <formula>"INPUT STARTER IN COLUMN D"</formula>
    </cfRule>
  </conditionalFormatting>
  <conditionalFormatting sqref="P151">
    <cfRule type="cellIs" dxfId="4736" priority="213" stopIfTrue="1" operator="equal">
      <formula>"INPUT STARTER IN COLUMN D"</formula>
    </cfRule>
  </conditionalFormatting>
  <conditionalFormatting sqref="P152">
    <cfRule type="cellIs" dxfId="4735" priority="212" stopIfTrue="1" operator="equal">
      <formula>"INPUT STARTER IN COLUMN D"</formula>
    </cfRule>
  </conditionalFormatting>
  <conditionalFormatting sqref="P153">
    <cfRule type="cellIs" dxfId="4734" priority="211" stopIfTrue="1" operator="equal">
      <formula>"INPUT STARTER IN COLUMN D"</formula>
    </cfRule>
  </conditionalFormatting>
  <conditionalFormatting sqref="P154">
    <cfRule type="cellIs" dxfId="4733" priority="210" stopIfTrue="1" operator="equal">
      <formula>"INPUT STARTER IN COLUMN D"</formula>
    </cfRule>
  </conditionalFormatting>
  <conditionalFormatting sqref="P155">
    <cfRule type="cellIs" dxfId="4732" priority="209" stopIfTrue="1" operator="equal">
      <formula>"INPUT STARTER IN COLUMN D"</formula>
    </cfRule>
  </conditionalFormatting>
  <conditionalFormatting sqref="P157">
    <cfRule type="cellIs" dxfId="4731" priority="208" stopIfTrue="1" operator="equal">
      <formula>"INPUT STARTER IN COLUMN D"</formula>
    </cfRule>
  </conditionalFormatting>
  <conditionalFormatting sqref="P158">
    <cfRule type="cellIs" dxfId="4730" priority="207" stopIfTrue="1" operator="equal">
      <formula>"INPUT STARTER IN COLUMN D"</formula>
    </cfRule>
  </conditionalFormatting>
  <conditionalFormatting sqref="P159">
    <cfRule type="cellIs" dxfId="4729" priority="206" stopIfTrue="1" operator="equal">
      <formula>"INPUT STARTER IN COLUMN D"</formula>
    </cfRule>
  </conditionalFormatting>
  <conditionalFormatting sqref="P160">
    <cfRule type="cellIs" dxfId="4728" priority="205" stopIfTrue="1" operator="equal">
      <formula>"INPUT STARTER IN COLUMN D"</formula>
    </cfRule>
  </conditionalFormatting>
  <conditionalFormatting sqref="P161">
    <cfRule type="cellIs" dxfId="4727" priority="204" stopIfTrue="1" operator="equal">
      <formula>"INPUT STARTER IN COLUMN D"</formula>
    </cfRule>
  </conditionalFormatting>
  <conditionalFormatting sqref="P162">
    <cfRule type="cellIs" dxfId="4726" priority="203" stopIfTrue="1" operator="equal">
      <formula>"INPUT STARTER IN COLUMN D"</formula>
    </cfRule>
  </conditionalFormatting>
  <conditionalFormatting sqref="P163">
    <cfRule type="cellIs" dxfId="4725" priority="202" stopIfTrue="1" operator="equal">
      <formula>"INPUT STARTER IN COLUMN D"</formula>
    </cfRule>
  </conditionalFormatting>
  <conditionalFormatting sqref="P165">
    <cfRule type="cellIs" dxfId="4724" priority="201" stopIfTrue="1" operator="equal">
      <formula>"INPUT STARTER IN COLUMN D"</formula>
    </cfRule>
  </conditionalFormatting>
  <conditionalFormatting sqref="P166">
    <cfRule type="cellIs" dxfId="4723" priority="200" stopIfTrue="1" operator="equal">
      <formula>"INPUT STARTER IN COLUMN D"</formula>
    </cfRule>
  </conditionalFormatting>
  <conditionalFormatting sqref="P167">
    <cfRule type="cellIs" dxfId="4722" priority="199" stopIfTrue="1" operator="equal">
      <formula>"INPUT STARTER IN COLUMN D"</formula>
    </cfRule>
  </conditionalFormatting>
  <conditionalFormatting sqref="P168">
    <cfRule type="cellIs" dxfId="4721" priority="198" stopIfTrue="1" operator="equal">
      <formula>"INPUT STARTER IN COLUMN D"</formula>
    </cfRule>
  </conditionalFormatting>
  <conditionalFormatting sqref="P169">
    <cfRule type="cellIs" dxfId="4720" priority="197" stopIfTrue="1" operator="equal">
      <formula>"INPUT STARTER IN COLUMN D"</formula>
    </cfRule>
  </conditionalFormatting>
  <conditionalFormatting sqref="P170">
    <cfRule type="cellIs" dxfId="4719" priority="196" stopIfTrue="1" operator="equal">
      <formula>"INPUT STARTER IN COLUMN D"</formula>
    </cfRule>
  </conditionalFormatting>
  <conditionalFormatting sqref="P171">
    <cfRule type="cellIs" dxfId="4718" priority="195" stopIfTrue="1" operator="equal">
      <formula>"INPUT STARTER IN COLUMN D"</formula>
    </cfRule>
  </conditionalFormatting>
  <conditionalFormatting sqref="P172">
    <cfRule type="cellIs" dxfId="4717" priority="194" stopIfTrue="1" operator="equal">
      <formula>"INPUT STARTER IN COLUMN D"</formula>
    </cfRule>
  </conditionalFormatting>
  <conditionalFormatting sqref="P173">
    <cfRule type="cellIs" dxfId="4716" priority="193" stopIfTrue="1" operator="equal">
      <formula>"INPUT STARTER IN COLUMN D"</formula>
    </cfRule>
  </conditionalFormatting>
  <conditionalFormatting sqref="P174">
    <cfRule type="cellIs" dxfId="4715" priority="192" stopIfTrue="1" operator="equal">
      <formula>"INPUT STARTER IN COLUMN D"</formula>
    </cfRule>
  </conditionalFormatting>
  <conditionalFormatting sqref="P176">
    <cfRule type="cellIs" dxfId="4714" priority="191" stopIfTrue="1" operator="equal">
      <formula>"INPUT STARTER IN COLUMN D"</formula>
    </cfRule>
  </conditionalFormatting>
  <conditionalFormatting sqref="P177">
    <cfRule type="cellIs" dxfId="4713" priority="190" stopIfTrue="1" operator="equal">
      <formula>"INPUT STARTER IN COLUMN D"</formula>
    </cfRule>
  </conditionalFormatting>
  <conditionalFormatting sqref="P178">
    <cfRule type="cellIs" dxfId="4712" priority="189" stopIfTrue="1" operator="equal">
      <formula>"INPUT STARTER IN COLUMN D"</formula>
    </cfRule>
  </conditionalFormatting>
  <conditionalFormatting sqref="P179">
    <cfRule type="cellIs" dxfId="4711" priority="188" stopIfTrue="1" operator="equal">
      <formula>"INPUT STARTER IN COLUMN D"</formula>
    </cfRule>
  </conditionalFormatting>
  <conditionalFormatting sqref="P180">
    <cfRule type="cellIs" dxfId="4710" priority="187" stopIfTrue="1" operator="equal">
      <formula>"INPUT STARTER IN COLUMN D"</formula>
    </cfRule>
  </conditionalFormatting>
  <conditionalFormatting sqref="P181">
    <cfRule type="cellIs" dxfId="4709" priority="186" stopIfTrue="1" operator="equal">
      <formula>"INPUT STARTER IN COLUMN D"</formula>
    </cfRule>
  </conditionalFormatting>
  <conditionalFormatting sqref="P182">
    <cfRule type="cellIs" dxfId="4708" priority="185" stopIfTrue="1" operator="equal">
      <formula>"INPUT STARTER IN COLUMN D"</formula>
    </cfRule>
  </conditionalFormatting>
  <conditionalFormatting sqref="P183">
    <cfRule type="cellIs" dxfId="4707" priority="184" stopIfTrue="1" operator="equal">
      <formula>"INPUT STARTER IN COLUMN D"</formula>
    </cfRule>
  </conditionalFormatting>
  <conditionalFormatting sqref="P184">
    <cfRule type="cellIs" dxfId="4706" priority="183" stopIfTrue="1" operator="equal">
      <formula>"INPUT STARTER IN COLUMN D"</formula>
    </cfRule>
  </conditionalFormatting>
  <conditionalFormatting sqref="P185">
    <cfRule type="cellIs" dxfId="4705" priority="182" stopIfTrue="1" operator="equal">
      <formula>"INPUT STARTER IN COLUMN D"</formula>
    </cfRule>
  </conditionalFormatting>
  <conditionalFormatting sqref="AK3:AK22">
    <cfRule type="cellIs" dxfId="4704" priority="181" stopIfTrue="1" operator="equal">
      <formula>"must average at least 5 innings per start"</formula>
    </cfRule>
  </conditionalFormatting>
  <conditionalFormatting sqref="AK23">
    <cfRule type="cellIs" dxfId="4703" priority="180" stopIfTrue="1" operator="equal">
      <formula>"must have 162 starts"</formula>
    </cfRule>
  </conditionalFormatting>
  <conditionalFormatting sqref="AH3:AH22">
    <cfRule type="cellIs" dxfId="4702" priority="179" stopIfTrue="1" operator="equal">
      <formula>"must average at least 5 innings per start"</formula>
    </cfRule>
  </conditionalFormatting>
  <conditionalFormatting sqref="AH23">
    <cfRule type="cellIs" dxfId="4701" priority="178" stopIfTrue="1" operator="equal">
      <formula>"must have 162 starts"</formula>
    </cfRule>
  </conditionalFormatting>
  <conditionalFormatting sqref="AG3:AG22">
    <cfRule type="cellIs" dxfId="4700" priority="177" stopIfTrue="1" operator="equal">
      <formula>"must average at least 5 innings per start"</formula>
    </cfRule>
  </conditionalFormatting>
  <conditionalFormatting sqref="AG23">
    <cfRule type="cellIs" dxfId="4699" priority="176" stopIfTrue="1" operator="equal">
      <formula>"must have 162 starts"</formula>
    </cfRule>
  </conditionalFormatting>
  <conditionalFormatting sqref="AK3:AK22">
    <cfRule type="cellIs" dxfId="4698" priority="175" stopIfTrue="1" operator="equal">
      <formula>"must average at least 5 innings per start"</formula>
    </cfRule>
  </conditionalFormatting>
  <conditionalFormatting sqref="AK23">
    <cfRule type="cellIs" dxfId="4697" priority="174" stopIfTrue="1" operator="equal">
      <formula>"must have 162 starts"</formula>
    </cfRule>
  </conditionalFormatting>
  <conditionalFormatting sqref="AH3:AH22">
    <cfRule type="cellIs" dxfId="4696" priority="173" stopIfTrue="1" operator="equal">
      <formula>"must average at least 5 innings per start"</formula>
    </cfRule>
  </conditionalFormatting>
  <conditionalFormatting sqref="AH23">
    <cfRule type="cellIs" dxfId="4695" priority="172" stopIfTrue="1" operator="equal">
      <formula>"must have 162 starts"</formula>
    </cfRule>
  </conditionalFormatting>
  <conditionalFormatting sqref="AG3:AG22">
    <cfRule type="cellIs" dxfId="4694" priority="171" stopIfTrue="1" operator="equal">
      <formula>"must average at least 5 innings per start"</formula>
    </cfRule>
  </conditionalFormatting>
  <conditionalFormatting sqref="AG23">
    <cfRule type="cellIs" dxfId="4693" priority="170" stopIfTrue="1" operator="equal">
      <formula>"must have 162 starts"</formula>
    </cfRule>
  </conditionalFormatting>
  <conditionalFormatting sqref="AK3:AK22">
    <cfRule type="cellIs" dxfId="4692" priority="169" stopIfTrue="1" operator="equal">
      <formula>"must average at least 5 innings per start"</formula>
    </cfRule>
  </conditionalFormatting>
  <conditionalFormatting sqref="AK23">
    <cfRule type="cellIs" dxfId="4691" priority="168" stopIfTrue="1" operator="equal">
      <formula>"must have 162 starts"</formula>
    </cfRule>
  </conditionalFormatting>
  <conditionalFormatting sqref="AH3:AH22">
    <cfRule type="cellIs" dxfId="4690" priority="167" stopIfTrue="1" operator="equal">
      <formula>"must average at least 5 innings per start"</formula>
    </cfRule>
  </conditionalFormatting>
  <conditionalFormatting sqref="AH23">
    <cfRule type="cellIs" dxfId="4689" priority="166" stopIfTrue="1" operator="equal">
      <formula>"must have 162 starts"</formula>
    </cfRule>
  </conditionalFormatting>
  <conditionalFormatting sqref="AG3:AG22">
    <cfRule type="cellIs" dxfId="4688" priority="165" stopIfTrue="1" operator="equal">
      <formula>"must average at least 5 innings per start"</formula>
    </cfRule>
  </conditionalFormatting>
  <conditionalFormatting sqref="AG23">
    <cfRule type="cellIs" dxfId="4687" priority="164" stopIfTrue="1" operator="equal">
      <formula>"must have 162 starts"</formula>
    </cfRule>
  </conditionalFormatting>
  <conditionalFormatting sqref="AK3:AK22">
    <cfRule type="cellIs" dxfId="4686" priority="163" stopIfTrue="1" operator="equal">
      <formula>"must average at least 5 innings per start"</formula>
    </cfRule>
  </conditionalFormatting>
  <conditionalFormatting sqref="AK23">
    <cfRule type="cellIs" dxfId="4685" priority="162" stopIfTrue="1" operator="equal">
      <formula>"must have 162 starts"</formula>
    </cfRule>
  </conditionalFormatting>
  <conditionalFormatting sqref="AH3:AH22">
    <cfRule type="cellIs" dxfId="4684" priority="161" stopIfTrue="1" operator="equal">
      <formula>"must average at least 5 innings per start"</formula>
    </cfRule>
  </conditionalFormatting>
  <conditionalFormatting sqref="AH23">
    <cfRule type="cellIs" dxfId="4683" priority="160" stopIfTrue="1" operator="equal">
      <formula>"must have 162 starts"</formula>
    </cfRule>
  </conditionalFormatting>
  <conditionalFormatting sqref="AG3:AG22">
    <cfRule type="cellIs" dxfId="4682" priority="159" stopIfTrue="1" operator="equal">
      <formula>"must average at least 5 innings per start"</formula>
    </cfRule>
  </conditionalFormatting>
  <conditionalFormatting sqref="AG23">
    <cfRule type="cellIs" dxfId="4681" priority="158" stopIfTrue="1" operator="equal">
      <formula>"must have 162 starts"</formula>
    </cfRule>
  </conditionalFormatting>
  <conditionalFormatting sqref="AK3:AK22">
    <cfRule type="cellIs" dxfId="4680" priority="157" stopIfTrue="1" operator="equal">
      <formula>"must average at least 5 innings per start"</formula>
    </cfRule>
  </conditionalFormatting>
  <conditionalFormatting sqref="AK23">
    <cfRule type="cellIs" dxfId="4679" priority="156" stopIfTrue="1" operator="equal">
      <formula>"must have 162 starts"</formula>
    </cfRule>
  </conditionalFormatting>
  <conditionalFormatting sqref="AH3:AH22">
    <cfRule type="cellIs" dxfId="4678" priority="155" stopIfTrue="1" operator="equal">
      <formula>"must average at least 5 innings per start"</formula>
    </cfRule>
  </conditionalFormatting>
  <conditionalFormatting sqref="AH23">
    <cfRule type="cellIs" dxfId="4677" priority="154" stopIfTrue="1" operator="equal">
      <formula>"must have 162 starts"</formula>
    </cfRule>
  </conditionalFormatting>
  <conditionalFormatting sqref="AG3:AG22">
    <cfRule type="cellIs" dxfId="4676" priority="153" stopIfTrue="1" operator="equal">
      <formula>"must average at least 5 innings per start"</formula>
    </cfRule>
  </conditionalFormatting>
  <conditionalFormatting sqref="AG23">
    <cfRule type="cellIs" dxfId="4675" priority="152" stopIfTrue="1" operator="equal">
      <formula>"must have 162 starts"</formula>
    </cfRule>
  </conditionalFormatting>
  <conditionalFormatting sqref="AK3:AK22">
    <cfRule type="cellIs" dxfId="4674" priority="151" stopIfTrue="1" operator="equal">
      <formula>"must average at least 5 innings per start"</formula>
    </cfRule>
  </conditionalFormatting>
  <conditionalFormatting sqref="AK23">
    <cfRule type="cellIs" dxfId="4673" priority="150" stopIfTrue="1" operator="equal">
      <formula>"must have 162 starts"</formula>
    </cfRule>
  </conditionalFormatting>
  <conditionalFormatting sqref="AH3:AH22">
    <cfRule type="cellIs" dxfId="4672" priority="149" stopIfTrue="1" operator="equal">
      <formula>"must average at least 5 innings per start"</formula>
    </cfRule>
  </conditionalFormatting>
  <conditionalFormatting sqref="AH23">
    <cfRule type="cellIs" dxfId="4671" priority="148" stopIfTrue="1" operator="equal">
      <formula>"must have 162 starts"</formula>
    </cfRule>
  </conditionalFormatting>
  <conditionalFormatting sqref="AG3:AG22">
    <cfRule type="cellIs" dxfId="4670" priority="147" stopIfTrue="1" operator="equal">
      <formula>"must average at least 5 innings per start"</formula>
    </cfRule>
  </conditionalFormatting>
  <conditionalFormatting sqref="AG23">
    <cfRule type="cellIs" dxfId="4669" priority="146" stopIfTrue="1" operator="equal">
      <formula>"must have 162 starts"</formula>
    </cfRule>
  </conditionalFormatting>
  <conditionalFormatting sqref="AK3:AK22">
    <cfRule type="cellIs" dxfId="4668" priority="145" stopIfTrue="1" operator="equal">
      <formula>"must average at least 5 innings per start"</formula>
    </cfRule>
  </conditionalFormatting>
  <conditionalFormatting sqref="AK23">
    <cfRule type="cellIs" dxfId="4667" priority="144" stopIfTrue="1" operator="equal">
      <formula>"must have 162 starts"</formula>
    </cfRule>
  </conditionalFormatting>
  <conditionalFormatting sqref="AH3:AH22">
    <cfRule type="cellIs" dxfId="4666" priority="143" stopIfTrue="1" operator="equal">
      <formula>"must average at least 5 innings per start"</formula>
    </cfRule>
  </conditionalFormatting>
  <conditionalFormatting sqref="AH23">
    <cfRule type="cellIs" dxfId="4665" priority="142" stopIfTrue="1" operator="equal">
      <formula>"must have 162 starts"</formula>
    </cfRule>
  </conditionalFormatting>
  <conditionalFormatting sqref="AG3:AG22">
    <cfRule type="cellIs" dxfId="4664" priority="141" stopIfTrue="1" operator="equal">
      <formula>"must average at least 5 innings per start"</formula>
    </cfRule>
  </conditionalFormatting>
  <conditionalFormatting sqref="AG23">
    <cfRule type="cellIs" dxfId="4663" priority="140" stopIfTrue="1" operator="equal">
      <formula>"must have 162 starts"</formula>
    </cfRule>
  </conditionalFormatting>
  <conditionalFormatting sqref="AK3:AK22">
    <cfRule type="cellIs" dxfId="4662" priority="139" stopIfTrue="1" operator="equal">
      <formula>"must average at least 5 innings per start"</formula>
    </cfRule>
  </conditionalFormatting>
  <conditionalFormatting sqref="AK23">
    <cfRule type="cellIs" dxfId="4661" priority="138" stopIfTrue="1" operator="equal">
      <formula>"must have 162 starts"</formula>
    </cfRule>
  </conditionalFormatting>
  <conditionalFormatting sqref="AH3:AH22">
    <cfRule type="cellIs" dxfId="4660" priority="137" stopIfTrue="1" operator="equal">
      <formula>"must average at least 5 innings per start"</formula>
    </cfRule>
  </conditionalFormatting>
  <conditionalFormatting sqref="AH23">
    <cfRule type="cellIs" dxfId="4659" priority="136" stopIfTrue="1" operator="equal">
      <formula>"must have 162 starts"</formula>
    </cfRule>
  </conditionalFormatting>
  <conditionalFormatting sqref="AG3:AG22">
    <cfRule type="cellIs" dxfId="4658" priority="135" stopIfTrue="1" operator="equal">
      <formula>"must average at least 5 innings per start"</formula>
    </cfRule>
  </conditionalFormatting>
  <conditionalFormatting sqref="AG23">
    <cfRule type="cellIs" dxfId="4657" priority="134" stopIfTrue="1" operator="equal">
      <formula>"must have 162 starts"</formula>
    </cfRule>
  </conditionalFormatting>
  <conditionalFormatting sqref="AK3:AK22">
    <cfRule type="cellIs" dxfId="4656" priority="133" stopIfTrue="1" operator="equal">
      <formula>"must average at least 5 innings per start"</formula>
    </cfRule>
  </conditionalFormatting>
  <conditionalFormatting sqref="AK23">
    <cfRule type="cellIs" dxfId="4655" priority="132" stopIfTrue="1" operator="equal">
      <formula>"must have 162 starts"</formula>
    </cfRule>
  </conditionalFormatting>
  <conditionalFormatting sqref="AH3:AH22">
    <cfRule type="cellIs" dxfId="4654" priority="131" stopIfTrue="1" operator="equal">
      <formula>"must average at least 5 innings per start"</formula>
    </cfRule>
  </conditionalFormatting>
  <conditionalFormatting sqref="AH23">
    <cfRule type="cellIs" dxfId="4653" priority="130" stopIfTrue="1" operator="equal">
      <formula>"must have 162 starts"</formula>
    </cfRule>
  </conditionalFormatting>
  <conditionalFormatting sqref="AG3:AG22">
    <cfRule type="cellIs" dxfId="4652" priority="129" stopIfTrue="1" operator="equal">
      <formula>"must average at least 5 innings per start"</formula>
    </cfRule>
  </conditionalFormatting>
  <conditionalFormatting sqref="AG23">
    <cfRule type="cellIs" dxfId="4651" priority="128" stopIfTrue="1" operator="equal">
      <formula>"must have 162 starts"</formula>
    </cfRule>
  </conditionalFormatting>
  <conditionalFormatting sqref="AK3:AK22">
    <cfRule type="cellIs" dxfId="4650" priority="127" stopIfTrue="1" operator="equal">
      <formula>"must average at least 5 innings per start"</formula>
    </cfRule>
  </conditionalFormatting>
  <conditionalFormatting sqref="AK23">
    <cfRule type="cellIs" dxfId="4649" priority="126" stopIfTrue="1" operator="equal">
      <formula>"must have 162 starts"</formula>
    </cfRule>
  </conditionalFormatting>
  <conditionalFormatting sqref="AH3:AH22">
    <cfRule type="cellIs" dxfId="4648" priority="125" stopIfTrue="1" operator="equal">
      <formula>"must average at least 5 innings per start"</formula>
    </cfRule>
  </conditionalFormatting>
  <conditionalFormatting sqref="AH23">
    <cfRule type="cellIs" dxfId="4647" priority="124" stopIfTrue="1" operator="equal">
      <formula>"must have 162 starts"</formula>
    </cfRule>
  </conditionalFormatting>
  <conditionalFormatting sqref="AG3:AG22">
    <cfRule type="cellIs" dxfId="4646" priority="123" stopIfTrue="1" operator="equal">
      <formula>"must average at least 5 innings per start"</formula>
    </cfRule>
  </conditionalFormatting>
  <conditionalFormatting sqref="AG23">
    <cfRule type="cellIs" dxfId="4645" priority="122" stopIfTrue="1" operator="equal">
      <formula>"must have 162 starts"</formula>
    </cfRule>
  </conditionalFormatting>
  <conditionalFormatting sqref="AK3:AK22">
    <cfRule type="cellIs" dxfId="4644" priority="121" stopIfTrue="1" operator="equal">
      <formula>"must average at least 5 innings per start"</formula>
    </cfRule>
  </conditionalFormatting>
  <conditionalFormatting sqref="AK23">
    <cfRule type="cellIs" dxfId="4643" priority="120" stopIfTrue="1" operator="equal">
      <formula>"must have 162 starts"</formula>
    </cfRule>
  </conditionalFormatting>
  <conditionalFormatting sqref="AH3:AH22">
    <cfRule type="cellIs" dxfId="4642" priority="119" stopIfTrue="1" operator="equal">
      <formula>"must average at least 5 innings per start"</formula>
    </cfRule>
  </conditionalFormatting>
  <conditionalFormatting sqref="AH23">
    <cfRule type="cellIs" dxfId="4641" priority="118" stopIfTrue="1" operator="equal">
      <formula>"must have 162 starts"</formula>
    </cfRule>
  </conditionalFormatting>
  <conditionalFormatting sqref="AG3:AG22">
    <cfRule type="cellIs" dxfId="4640" priority="117" stopIfTrue="1" operator="equal">
      <formula>"must average at least 5 innings per start"</formula>
    </cfRule>
  </conditionalFormatting>
  <conditionalFormatting sqref="AG23">
    <cfRule type="cellIs" dxfId="4639" priority="116" stopIfTrue="1" operator="equal">
      <formula>"must have 162 starts"</formula>
    </cfRule>
  </conditionalFormatting>
  <conditionalFormatting sqref="AK3:AK22">
    <cfRule type="cellIs" dxfId="4638" priority="115" stopIfTrue="1" operator="equal">
      <formula>"must average at least 5 innings per start"</formula>
    </cfRule>
  </conditionalFormatting>
  <conditionalFormatting sqref="AK23">
    <cfRule type="cellIs" dxfId="4637" priority="114" stopIfTrue="1" operator="equal">
      <formula>"must have 162 starts"</formula>
    </cfRule>
  </conditionalFormatting>
  <conditionalFormatting sqref="AH3:AH22">
    <cfRule type="cellIs" dxfId="4636" priority="113" stopIfTrue="1" operator="equal">
      <formula>"must average at least 5 innings per start"</formula>
    </cfRule>
  </conditionalFormatting>
  <conditionalFormatting sqref="AH23">
    <cfRule type="cellIs" dxfId="4635" priority="112" stopIfTrue="1" operator="equal">
      <formula>"must have 162 starts"</formula>
    </cfRule>
  </conditionalFormatting>
  <conditionalFormatting sqref="AG3:AG22">
    <cfRule type="cellIs" dxfId="4634" priority="111" stopIfTrue="1" operator="equal">
      <formula>"must average at least 5 innings per start"</formula>
    </cfRule>
  </conditionalFormatting>
  <conditionalFormatting sqref="AG23">
    <cfRule type="cellIs" dxfId="4633" priority="110" stopIfTrue="1" operator="equal">
      <formula>"must have 162 starts"</formula>
    </cfRule>
  </conditionalFormatting>
  <conditionalFormatting sqref="AK3:AK22">
    <cfRule type="cellIs" dxfId="4632" priority="109" stopIfTrue="1" operator="equal">
      <formula>"must average at least 5 innings per start"</formula>
    </cfRule>
  </conditionalFormatting>
  <conditionalFormatting sqref="AK23">
    <cfRule type="cellIs" dxfId="4631" priority="108" stopIfTrue="1" operator="equal">
      <formula>"must have 162 starts"</formula>
    </cfRule>
  </conditionalFormatting>
  <conditionalFormatting sqref="AH3:AH22">
    <cfRule type="cellIs" dxfId="4630" priority="107" stopIfTrue="1" operator="equal">
      <formula>"must average at least 5 innings per start"</formula>
    </cfRule>
  </conditionalFormatting>
  <conditionalFormatting sqref="AH23">
    <cfRule type="cellIs" dxfId="4629" priority="106" stopIfTrue="1" operator="equal">
      <formula>"must have 162 starts"</formula>
    </cfRule>
  </conditionalFormatting>
  <conditionalFormatting sqref="AG3:AG22">
    <cfRule type="cellIs" dxfId="4628" priority="105" stopIfTrue="1" operator="equal">
      <formula>"must average at least 5 innings per start"</formula>
    </cfRule>
  </conditionalFormatting>
  <conditionalFormatting sqref="AG23">
    <cfRule type="cellIs" dxfId="4627" priority="104" stopIfTrue="1" operator="equal">
      <formula>"must have 162 starts"</formula>
    </cfRule>
  </conditionalFormatting>
  <conditionalFormatting sqref="AG3:AG22">
    <cfRule type="cellIs" dxfId="4626" priority="103" stopIfTrue="1" operator="equal">
      <formula>"must average at least 5 innings per start"</formula>
    </cfRule>
  </conditionalFormatting>
  <conditionalFormatting sqref="AG23">
    <cfRule type="cellIs" dxfId="4625" priority="102" stopIfTrue="1" operator="equal">
      <formula>"must have 162 starts"</formula>
    </cfRule>
  </conditionalFormatting>
  <conditionalFormatting sqref="AK3:AK22">
    <cfRule type="cellIs" dxfId="4624" priority="101" stopIfTrue="1" operator="equal">
      <formula>"must average at least 5 innings per start"</formula>
    </cfRule>
  </conditionalFormatting>
  <conditionalFormatting sqref="AK23">
    <cfRule type="cellIs" dxfId="4623" priority="100" stopIfTrue="1" operator="equal">
      <formula>"must have 162 starts"</formula>
    </cfRule>
  </conditionalFormatting>
  <conditionalFormatting sqref="AK3:AK22">
    <cfRule type="cellIs" dxfId="4622" priority="99" stopIfTrue="1" operator="equal">
      <formula>"must average at least 5 innings per start"</formula>
    </cfRule>
  </conditionalFormatting>
  <conditionalFormatting sqref="AK23">
    <cfRule type="cellIs" dxfId="4621" priority="98" stopIfTrue="1" operator="equal">
      <formula>"must have 162 starts"</formula>
    </cfRule>
  </conditionalFormatting>
  <conditionalFormatting sqref="AK3:AK22">
    <cfRule type="cellIs" dxfId="4620" priority="97" stopIfTrue="1" operator="equal">
      <formula>"must average at least 5 innings per start"</formula>
    </cfRule>
  </conditionalFormatting>
  <conditionalFormatting sqref="AK23">
    <cfRule type="cellIs" dxfId="4619" priority="96" stopIfTrue="1" operator="equal">
      <formula>"must have 162 starts"</formula>
    </cfRule>
  </conditionalFormatting>
  <conditionalFormatting sqref="AK3:AK22">
    <cfRule type="cellIs" dxfId="4618" priority="95" stopIfTrue="1" operator="equal">
      <formula>"must average at least 5 innings per start"</formula>
    </cfRule>
  </conditionalFormatting>
  <conditionalFormatting sqref="AK23">
    <cfRule type="cellIs" dxfId="4617" priority="94" stopIfTrue="1" operator="equal">
      <formula>"must have 162 starts"</formula>
    </cfRule>
  </conditionalFormatting>
  <conditionalFormatting sqref="AK3:AK22">
    <cfRule type="cellIs" dxfId="4616" priority="93" stopIfTrue="1" operator="equal">
      <formula>"must average at least 5 innings per start"</formula>
    </cfRule>
  </conditionalFormatting>
  <conditionalFormatting sqref="AK23">
    <cfRule type="cellIs" dxfId="4615" priority="92" stopIfTrue="1" operator="equal">
      <formula>"must have 162 starts"</formula>
    </cfRule>
  </conditionalFormatting>
  <conditionalFormatting sqref="AK3:AK22">
    <cfRule type="cellIs" dxfId="4614" priority="91" stopIfTrue="1" operator="equal">
      <formula>"must average at least 5 innings per start"</formula>
    </cfRule>
  </conditionalFormatting>
  <conditionalFormatting sqref="AK23">
    <cfRule type="cellIs" dxfId="4613" priority="90" stopIfTrue="1" operator="equal">
      <formula>"must have 162 starts"</formula>
    </cfRule>
  </conditionalFormatting>
  <conditionalFormatting sqref="AK3:AK22">
    <cfRule type="cellIs" dxfId="4612" priority="89" stopIfTrue="1" operator="equal">
      <formula>"must average at least 5 innings per start"</formula>
    </cfRule>
  </conditionalFormatting>
  <conditionalFormatting sqref="AK23">
    <cfRule type="cellIs" dxfId="4611" priority="88" stopIfTrue="1" operator="equal">
      <formula>"must have 162 starts"</formula>
    </cfRule>
  </conditionalFormatting>
  <conditionalFormatting sqref="AH3:AH22">
    <cfRule type="cellIs" dxfId="4610" priority="87" stopIfTrue="1" operator="equal">
      <formula>"must average at least 5 innings per start"</formula>
    </cfRule>
  </conditionalFormatting>
  <conditionalFormatting sqref="AH23">
    <cfRule type="cellIs" dxfId="4609" priority="86" stopIfTrue="1" operator="equal">
      <formula>"must have 162 starts"</formula>
    </cfRule>
  </conditionalFormatting>
  <conditionalFormatting sqref="AG3:AG22">
    <cfRule type="cellIs" dxfId="4608" priority="85" stopIfTrue="1" operator="equal">
      <formula>"must average at least 5 innings per start"</formula>
    </cfRule>
  </conditionalFormatting>
  <conditionalFormatting sqref="AG23">
    <cfRule type="cellIs" dxfId="4607" priority="84" stopIfTrue="1" operator="equal">
      <formula>"must have 162 starts"</formula>
    </cfRule>
  </conditionalFormatting>
  <conditionalFormatting sqref="AK3:AK22">
    <cfRule type="cellIs" dxfId="4606" priority="83" stopIfTrue="1" operator="equal">
      <formula>"must average at least 5 innings per start"</formula>
    </cfRule>
  </conditionalFormatting>
  <conditionalFormatting sqref="AK23">
    <cfRule type="cellIs" dxfId="4605" priority="82" stopIfTrue="1" operator="equal">
      <formula>"must have 162 starts"</formula>
    </cfRule>
  </conditionalFormatting>
  <conditionalFormatting sqref="AK3:AK22">
    <cfRule type="cellIs" dxfId="4604" priority="81" stopIfTrue="1" operator="equal">
      <formula>"must average at least 5 innings per start"</formula>
    </cfRule>
  </conditionalFormatting>
  <conditionalFormatting sqref="AK23">
    <cfRule type="cellIs" dxfId="4603" priority="80" stopIfTrue="1" operator="equal">
      <formula>"must have 162 starts"</formula>
    </cfRule>
  </conditionalFormatting>
  <conditionalFormatting sqref="AK3:AK22">
    <cfRule type="cellIs" dxfId="4602" priority="79" stopIfTrue="1" operator="equal">
      <formula>"must average at least 5 innings per start"</formula>
    </cfRule>
  </conditionalFormatting>
  <conditionalFormatting sqref="AK23">
    <cfRule type="cellIs" dxfId="4601" priority="78" stopIfTrue="1" operator="equal">
      <formula>"must have 162 starts"</formula>
    </cfRule>
  </conditionalFormatting>
  <conditionalFormatting sqref="AK3:AK22">
    <cfRule type="cellIs" dxfId="4600" priority="77" stopIfTrue="1" operator="equal">
      <formula>"must average at least 5 innings per start"</formula>
    </cfRule>
  </conditionalFormatting>
  <conditionalFormatting sqref="AK23">
    <cfRule type="cellIs" dxfId="4599" priority="76" stopIfTrue="1" operator="equal">
      <formula>"must have 162 starts"</formula>
    </cfRule>
  </conditionalFormatting>
  <conditionalFormatting sqref="AK3:AK22">
    <cfRule type="cellIs" dxfId="4598" priority="75" stopIfTrue="1" operator="equal">
      <formula>"must average at least 5 innings per start"</formula>
    </cfRule>
  </conditionalFormatting>
  <conditionalFormatting sqref="AK23">
    <cfRule type="cellIs" dxfId="4597" priority="74" stopIfTrue="1" operator="equal">
      <formula>"must have 162 starts"</formula>
    </cfRule>
  </conditionalFormatting>
  <conditionalFormatting sqref="AK3:AK22">
    <cfRule type="cellIs" dxfId="4596" priority="73" stopIfTrue="1" operator="equal">
      <formula>"must average at least 5 innings per start"</formula>
    </cfRule>
  </conditionalFormatting>
  <conditionalFormatting sqref="AK23">
    <cfRule type="cellIs" dxfId="4595" priority="72" stopIfTrue="1" operator="equal">
      <formula>"must have 162 starts"</formula>
    </cfRule>
  </conditionalFormatting>
  <conditionalFormatting sqref="AK3:AK22">
    <cfRule type="cellIs" dxfId="4594" priority="71" stopIfTrue="1" operator="equal">
      <formula>"must average at least 5 innings per start"</formula>
    </cfRule>
  </conditionalFormatting>
  <conditionalFormatting sqref="AK23">
    <cfRule type="cellIs" dxfId="4593" priority="70" stopIfTrue="1" operator="equal">
      <formula>"must have 162 starts"</formula>
    </cfRule>
  </conditionalFormatting>
  <conditionalFormatting sqref="AK3:AK22">
    <cfRule type="cellIs" dxfId="4592" priority="69" stopIfTrue="1" operator="equal">
      <formula>"must average at least 5 innings per start"</formula>
    </cfRule>
  </conditionalFormatting>
  <conditionalFormatting sqref="AK23">
    <cfRule type="cellIs" dxfId="4591" priority="68" stopIfTrue="1" operator="equal">
      <formula>"must have 162 starts"</formula>
    </cfRule>
  </conditionalFormatting>
  <conditionalFormatting sqref="AG3:AG22">
    <cfRule type="cellIs" dxfId="4590" priority="67" stopIfTrue="1" operator="equal">
      <formula>"must average at least 5 innings per start"</formula>
    </cfRule>
  </conditionalFormatting>
  <conditionalFormatting sqref="AG23">
    <cfRule type="cellIs" dxfId="4589" priority="66" stopIfTrue="1" operator="equal">
      <formula>"must have 162 starts"</formula>
    </cfRule>
  </conditionalFormatting>
  <conditionalFormatting sqref="AK3:AK22">
    <cfRule type="cellIs" dxfId="4588" priority="65" stopIfTrue="1" operator="equal">
      <formula>"must average at least 5 innings per start"</formula>
    </cfRule>
  </conditionalFormatting>
  <conditionalFormatting sqref="AK23">
    <cfRule type="cellIs" dxfId="4587" priority="64" stopIfTrue="1" operator="equal">
      <formula>"must have 162 starts"</formula>
    </cfRule>
  </conditionalFormatting>
  <conditionalFormatting sqref="AK3:AK22">
    <cfRule type="cellIs" dxfId="4586" priority="63" stopIfTrue="1" operator="equal">
      <formula>"must average at least 5 innings per start"</formula>
    </cfRule>
  </conditionalFormatting>
  <conditionalFormatting sqref="AK23">
    <cfRule type="cellIs" dxfId="4585" priority="62" stopIfTrue="1" operator="equal">
      <formula>"must have 162 starts"</formula>
    </cfRule>
  </conditionalFormatting>
  <conditionalFormatting sqref="AK3:AK22">
    <cfRule type="cellIs" dxfId="4584" priority="61" stopIfTrue="1" operator="equal">
      <formula>"must average at least 5 innings per start"</formula>
    </cfRule>
  </conditionalFormatting>
  <conditionalFormatting sqref="AK23">
    <cfRule type="cellIs" dxfId="4583" priority="60" stopIfTrue="1" operator="equal">
      <formula>"must have 162 starts"</formula>
    </cfRule>
  </conditionalFormatting>
  <conditionalFormatting sqref="AK3:AK22">
    <cfRule type="cellIs" dxfId="4582" priority="59" stopIfTrue="1" operator="equal">
      <formula>"must average at least 5 innings per start"</formula>
    </cfRule>
  </conditionalFormatting>
  <conditionalFormatting sqref="AK23">
    <cfRule type="cellIs" dxfId="4581" priority="58" stopIfTrue="1" operator="equal">
      <formula>"must have 162 starts"</formula>
    </cfRule>
  </conditionalFormatting>
  <conditionalFormatting sqref="AK3:AK22">
    <cfRule type="cellIs" dxfId="4580" priority="57" stopIfTrue="1" operator="equal">
      <formula>"must average at least 5 innings per start"</formula>
    </cfRule>
  </conditionalFormatting>
  <conditionalFormatting sqref="AK23">
    <cfRule type="cellIs" dxfId="4579" priority="56" stopIfTrue="1" operator="equal">
      <formula>"must have 162 starts"</formula>
    </cfRule>
  </conditionalFormatting>
  <conditionalFormatting sqref="AK3:AK22">
    <cfRule type="cellIs" dxfId="4578" priority="55" stopIfTrue="1" operator="equal">
      <formula>"must average at least 5 innings per start"</formula>
    </cfRule>
  </conditionalFormatting>
  <conditionalFormatting sqref="AK23">
    <cfRule type="cellIs" dxfId="4577" priority="54" stopIfTrue="1" operator="equal">
      <formula>"must have 162 starts"</formula>
    </cfRule>
  </conditionalFormatting>
  <conditionalFormatting sqref="AK3:AK22">
    <cfRule type="cellIs" dxfId="4576" priority="53" stopIfTrue="1" operator="equal">
      <formula>"must average at least 5 innings per start"</formula>
    </cfRule>
  </conditionalFormatting>
  <conditionalFormatting sqref="AK23">
    <cfRule type="cellIs" dxfId="4575" priority="52" stopIfTrue="1" operator="equal">
      <formula>"must have 162 starts"</formula>
    </cfRule>
  </conditionalFormatting>
  <conditionalFormatting sqref="AG3:AG22">
    <cfRule type="cellIs" dxfId="4574" priority="51" stopIfTrue="1" operator="equal">
      <formula>"must average at least 5 innings per start"</formula>
    </cfRule>
  </conditionalFormatting>
  <conditionalFormatting sqref="AG23">
    <cfRule type="cellIs" dxfId="4573" priority="50" stopIfTrue="1" operator="equal">
      <formula>"must have 162 starts"</formula>
    </cfRule>
  </conditionalFormatting>
  <conditionalFormatting sqref="AK3:AK22">
    <cfRule type="cellIs" dxfId="4572" priority="49" stopIfTrue="1" operator="equal">
      <formula>"must average at least 5 innings per start"</formula>
    </cfRule>
  </conditionalFormatting>
  <conditionalFormatting sqref="AK23">
    <cfRule type="cellIs" dxfId="4571" priority="48" stopIfTrue="1" operator="equal">
      <formula>"must have 162 starts"</formula>
    </cfRule>
  </conditionalFormatting>
  <conditionalFormatting sqref="AK3:AK22">
    <cfRule type="cellIs" dxfId="4570" priority="47" stopIfTrue="1" operator="equal">
      <formula>"must average at least 5 innings per start"</formula>
    </cfRule>
  </conditionalFormatting>
  <conditionalFormatting sqref="AK23">
    <cfRule type="cellIs" dxfId="4569" priority="46" stopIfTrue="1" operator="equal">
      <formula>"must have 162 starts"</formula>
    </cfRule>
  </conditionalFormatting>
  <conditionalFormatting sqref="AK3:AK22">
    <cfRule type="cellIs" dxfId="4568" priority="45" stopIfTrue="1" operator="equal">
      <formula>"must average at least 5 innings per start"</formula>
    </cfRule>
  </conditionalFormatting>
  <conditionalFormatting sqref="AK23">
    <cfRule type="cellIs" dxfId="4567" priority="44" stopIfTrue="1" operator="equal">
      <formula>"must have 162 starts"</formula>
    </cfRule>
  </conditionalFormatting>
  <conditionalFormatting sqref="AK3:AK22">
    <cfRule type="cellIs" dxfId="4566" priority="43" stopIfTrue="1" operator="equal">
      <formula>"must average at least 5 innings per start"</formula>
    </cfRule>
  </conditionalFormatting>
  <conditionalFormatting sqref="AK23">
    <cfRule type="cellIs" dxfId="4565" priority="42" stopIfTrue="1" operator="equal">
      <formula>"must have 162 starts"</formula>
    </cfRule>
  </conditionalFormatting>
  <conditionalFormatting sqref="AK3:AK22">
    <cfRule type="cellIs" dxfId="4564" priority="41" stopIfTrue="1" operator="equal">
      <formula>"must average at least 5 innings per start"</formula>
    </cfRule>
  </conditionalFormatting>
  <conditionalFormatting sqref="AK23">
    <cfRule type="cellIs" dxfId="4563" priority="40" stopIfTrue="1" operator="equal">
      <formula>"must have 162 starts"</formula>
    </cfRule>
  </conditionalFormatting>
  <conditionalFormatting sqref="AK3:AK22">
    <cfRule type="cellIs" dxfId="4562" priority="39" stopIfTrue="1" operator="equal">
      <formula>"must average at least 5 innings per start"</formula>
    </cfRule>
  </conditionalFormatting>
  <conditionalFormatting sqref="AK23">
    <cfRule type="cellIs" dxfId="4561" priority="38" stopIfTrue="1" operator="equal">
      <formula>"must have 162 starts"</formula>
    </cfRule>
  </conditionalFormatting>
  <conditionalFormatting sqref="AG3:AG22">
    <cfRule type="cellIs" dxfId="4560" priority="37" stopIfTrue="1" operator="equal">
      <formula>"must average at least 5 innings per start"</formula>
    </cfRule>
  </conditionalFormatting>
  <conditionalFormatting sqref="AG23">
    <cfRule type="cellIs" dxfId="4559" priority="36" stopIfTrue="1" operator="equal">
      <formula>"must have 162 starts"</formula>
    </cfRule>
  </conditionalFormatting>
  <conditionalFormatting sqref="AK3:AK22">
    <cfRule type="cellIs" dxfId="4558" priority="35" stopIfTrue="1" operator="equal">
      <formula>"must average at least 5 innings per start"</formula>
    </cfRule>
  </conditionalFormatting>
  <conditionalFormatting sqref="AK23">
    <cfRule type="cellIs" dxfId="4557" priority="34" stopIfTrue="1" operator="equal">
      <formula>"must have 162 starts"</formula>
    </cfRule>
  </conditionalFormatting>
  <conditionalFormatting sqref="AK3:AK22">
    <cfRule type="cellIs" dxfId="4556" priority="33" stopIfTrue="1" operator="equal">
      <formula>"must average at least 5 innings per start"</formula>
    </cfRule>
  </conditionalFormatting>
  <conditionalFormatting sqref="AK23">
    <cfRule type="cellIs" dxfId="4555" priority="32" stopIfTrue="1" operator="equal">
      <formula>"must have 162 starts"</formula>
    </cfRule>
  </conditionalFormatting>
  <conditionalFormatting sqref="AK3:AK22">
    <cfRule type="cellIs" dxfId="4554" priority="31" stopIfTrue="1" operator="equal">
      <formula>"must average at least 5 innings per start"</formula>
    </cfRule>
  </conditionalFormatting>
  <conditionalFormatting sqref="AK23">
    <cfRule type="cellIs" dxfId="4553" priority="30" stopIfTrue="1" operator="equal">
      <formula>"must have 162 starts"</formula>
    </cfRule>
  </conditionalFormatting>
  <conditionalFormatting sqref="AK3:AK22">
    <cfRule type="cellIs" dxfId="4552" priority="29" stopIfTrue="1" operator="equal">
      <formula>"must average at least 5 innings per start"</formula>
    </cfRule>
  </conditionalFormatting>
  <conditionalFormatting sqref="AK23">
    <cfRule type="cellIs" dxfId="4551" priority="28" stopIfTrue="1" operator="equal">
      <formula>"must have 162 starts"</formula>
    </cfRule>
  </conditionalFormatting>
  <conditionalFormatting sqref="AK3:AK22">
    <cfRule type="cellIs" dxfId="4550" priority="27" stopIfTrue="1" operator="equal">
      <formula>"must average at least 5 innings per start"</formula>
    </cfRule>
  </conditionalFormatting>
  <conditionalFormatting sqref="AK23">
    <cfRule type="cellIs" dxfId="4549" priority="26" stopIfTrue="1" operator="equal">
      <formula>"must have 162 starts"</formula>
    </cfRule>
  </conditionalFormatting>
  <conditionalFormatting sqref="AG3:AG22">
    <cfRule type="cellIs" dxfId="4548" priority="25" stopIfTrue="1" operator="equal">
      <formula>"must average at least 5 innings per start"</formula>
    </cfRule>
  </conditionalFormatting>
  <conditionalFormatting sqref="AG23">
    <cfRule type="cellIs" dxfId="4547" priority="24" stopIfTrue="1" operator="equal">
      <formula>"must have 162 starts"</formula>
    </cfRule>
  </conditionalFormatting>
  <conditionalFormatting sqref="AK3:AK22">
    <cfRule type="cellIs" dxfId="4546" priority="23" stopIfTrue="1" operator="equal">
      <formula>"must average at least 5 innings per start"</formula>
    </cfRule>
  </conditionalFormatting>
  <conditionalFormatting sqref="AK23">
    <cfRule type="cellIs" dxfId="4545" priority="22" stopIfTrue="1" operator="equal">
      <formula>"must have 162 starts"</formula>
    </cfRule>
  </conditionalFormatting>
  <conditionalFormatting sqref="AK3:AK22">
    <cfRule type="cellIs" dxfId="4544" priority="21" stopIfTrue="1" operator="equal">
      <formula>"must average at least 5 innings per start"</formula>
    </cfRule>
  </conditionalFormatting>
  <conditionalFormatting sqref="AK23">
    <cfRule type="cellIs" dxfId="4543" priority="20" stopIfTrue="1" operator="equal">
      <formula>"must have 162 starts"</formula>
    </cfRule>
  </conditionalFormatting>
  <conditionalFormatting sqref="AK3:AK22">
    <cfRule type="cellIs" dxfId="4542" priority="19" stopIfTrue="1" operator="equal">
      <formula>"must average at least 5 innings per start"</formula>
    </cfRule>
  </conditionalFormatting>
  <conditionalFormatting sqref="AK23">
    <cfRule type="cellIs" dxfId="4541" priority="18" stopIfTrue="1" operator="equal">
      <formula>"must have 162 starts"</formula>
    </cfRule>
  </conditionalFormatting>
  <conditionalFormatting sqref="AK3:AK22">
    <cfRule type="cellIs" dxfId="4540" priority="17" stopIfTrue="1" operator="equal">
      <formula>"must average at least 5 innings per start"</formula>
    </cfRule>
  </conditionalFormatting>
  <conditionalFormatting sqref="AK23">
    <cfRule type="cellIs" dxfId="4539" priority="16" stopIfTrue="1" operator="equal">
      <formula>"must have 162 starts"</formula>
    </cfRule>
  </conditionalFormatting>
  <conditionalFormatting sqref="AG3:AG22">
    <cfRule type="cellIs" dxfId="4538" priority="15" stopIfTrue="1" operator="equal">
      <formula>"must average at least 5 innings per start"</formula>
    </cfRule>
  </conditionalFormatting>
  <conditionalFormatting sqref="AG23">
    <cfRule type="cellIs" dxfId="4537" priority="14" stopIfTrue="1" operator="equal">
      <formula>"must have 162 starts"</formula>
    </cfRule>
  </conditionalFormatting>
  <conditionalFormatting sqref="AK3:AK22">
    <cfRule type="cellIs" dxfId="4536" priority="13" stopIfTrue="1" operator="equal">
      <formula>"must average at least 5 innings per start"</formula>
    </cfRule>
  </conditionalFormatting>
  <conditionalFormatting sqref="AK23">
    <cfRule type="cellIs" dxfId="4535" priority="12" stopIfTrue="1" operator="equal">
      <formula>"must have 162 starts"</formula>
    </cfRule>
  </conditionalFormatting>
  <conditionalFormatting sqref="AK3:AK22">
    <cfRule type="cellIs" dxfId="4534" priority="11" stopIfTrue="1" operator="equal">
      <formula>"must average at least 5 innings per start"</formula>
    </cfRule>
  </conditionalFormatting>
  <conditionalFormatting sqref="AK23">
    <cfRule type="cellIs" dxfId="4533" priority="10" stopIfTrue="1" operator="equal">
      <formula>"must have 162 starts"</formula>
    </cfRule>
  </conditionalFormatting>
  <conditionalFormatting sqref="AK3:AK22">
    <cfRule type="cellIs" dxfId="4532" priority="9" stopIfTrue="1" operator="equal">
      <formula>"must average at least 5 innings per start"</formula>
    </cfRule>
  </conditionalFormatting>
  <conditionalFormatting sqref="AK23">
    <cfRule type="cellIs" dxfId="4531" priority="8" stopIfTrue="1" operator="equal">
      <formula>"must have 162 starts"</formula>
    </cfRule>
  </conditionalFormatting>
  <conditionalFormatting sqref="AG3:AG22">
    <cfRule type="cellIs" dxfId="4530" priority="7" stopIfTrue="1" operator="equal">
      <formula>"must average at least 5 innings per start"</formula>
    </cfRule>
  </conditionalFormatting>
  <conditionalFormatting sqref="AG23">
    <cfRule type="cellIs" dxfId="4529" priority="6" stopIfTrue="1" operator="equal">
      <formula>"must have 162 starts"</formula>
    </cfRule>
  </conditionalFormatting>
  <conditionalFormatting sqref="AK3:AK22">
    <cfRule type="cellIs" dxfId="4528" priority="5" stopIfTrue="1" operator="equal">
      <formula>"must average at least 5 innings per start"</formula>
    </cfRule>
  </conditionalFormatting>
  <conditionalFormatting sqref="AK23">
    <cfRule type="cellIs" dxfId="4527" priority="4" stopIfTrue="1" operator="equal">
      <formula>"must have 162 starts"</formula>
    </cfRule>
  </conditionalFormatting>
  <conditionalFormatting sqref="AG3:AG22">
    <cfRule type="cellIs" dxfId="4526" priority="3" stopIfTrue="1" operator="equal">
      <formula>"must average at least 5 innings per start"</formula>
    </cfRule>
  </conditionalFormatting>
  <conditionalFormatting sqref="AG23">
    <cfRule type="cellIs" dxfId="4525" priority="2" stopIfTrue="1" operator="equal">
      <formula>"must have 162 starts"</formula>
    </cfRule>
  </conditionalFormatting>
  <conditionalFormatting sqref="Q2">
    <cfRule type="cellIs" dxfId="4524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31332" divId="ROTcheck_31332" sourceType="sheet" destinationFile="C:\1kading\schedule\skedquo.html"/>
    <webPublishItem id="22567" divId="ROTcheck_22567" sourceType="range" sourceRef="A1:O193" destinationFile="C:\1kading\schedule\skedquo.html"/>
    <webPublishItem id="24396" divId="ROTcheck_24396" sourceType="range" sourceRef="A156:O185" destinationFile="C:\1kading\schedule\skedquo.html"/>
  </webPublishItems>
</worksheet>
</file>

<file path=xl/worksheets/sheet15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6" customWidth="1"/>
    <col min="2" max="2" width="4" style="6" customWidth="1"/>
    <col min="3" max="3" width="5.85546875" style="6" customWidth="1"/>
    <col min="4" max="4" width="32" style="4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20.285156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7.710937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14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/>
      <c r="C3" s="33" t="s">
        <v>48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348</v>
      </c>
      <c r="T3" s="46" t="str">
        <f>IF(ISERROR((VLOOKUP(S3,Pitchers!$B$1:H$800,4,FALSE))),"",(VLOOKUP(S3,Pitchers!$B$1:H$800,4,FALSE)))</f>
        <v>LAD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21</v>
      </c>
      <c r="X3" s="47">
        <f>IF(ISERROR((VLOOKUP(S3,Pitchers!B$2:AA$795,11,FALSE))),"",(VLOOKUP(S3,Pitchers!B$2:AA$795,11,FALSE)))</f>
        <v>223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MED</v>
      </c>
    </row>
    <row r="4" spans="1:36" ht="12.75">
      <c r="A4" s="6">
        <v>4.0199999999999996</v>
      </c>
      <c r="B4" s="33"/>
      <c r="C4" s="33" t="s">
        <v>48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388</v>
      </c>
      <c r="T4" s="46" t="str">
        <f>IF(ISERROR((VLOOKUP(S4,Pitchers!$B$1:H$800,4,FALSE))),"",(VLOOKUP(S4,Pitchers!$B$1:H$800,4,FALSE)))</f>
        <v>SEA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14</v>
      </c>
      <c r="X4" s="47">
        <f>IF(ISERROR((VLOOKUP(S4,Pitchers!B$2:AA$795,11,FALSE))),"",(VLOOKUP(S4,Pitchers!B$2:AA$795,11,FALSE)))</f>
        <v>202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X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MED</v>
      </c>
    </row>
    <row r="5" spans="1:36" ht="12.75">
      <c r="A5" s="6">
        <v>4.03</v>
      </c>
      <c r="B5" s="33"/>
      <c r="C5" s="33" t="s">
        <v>48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457</v>
      </c>
      <c r="T5" s="46" t="str">
        <f>IF(ISERROR((VLOOKUP(S5,Pitchers!$B$1:H$800,4,FALSE))),"",(VLOOKUP(S5,Pitchers!$B$1:H$800,4,FALSE)))</f>
        <v>CHC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10</v>
      </c>
      <c r="X5" s="47">
        <f>IF(ISERROR((VLOOKUP(S5,Pitchers!B$2:AA$795,11,FALSE))),"",(VLOOKUP(S5,Pitchers!B$2:AA$795,11,FALSE)))</f>
        <v>205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X</v>
      </c>
      <c r="AC5" s="52" t="str">
        <f>IF(ISERROR((VLOOKUP(S5,Pitchers!B$2:AA$795,17,FALSE))),"",(VLOOKUP(S5,Pitchers!B$2:AA$795,17,FALSE)))</f>
        <v>Z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MED</v>
      </c>
    </row>
    <row r="6" spans="1:36" ht="12.75">
      <c r="A6" s="6">
        <v>4.04</v>
      </c>
      <c r="B6" s="33"/>
      <c r="C6" s="33" t="s">
        <v>48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660</v>
      </c>
      <c r="T6" s="46" t="str">
        <f>IF(ISERROR((VLOOKUP(S6,Pitchers!$B$1:H$800,4,FALSE))),"",(VLOOKUP(S6,Pitchers!$B$1:H$800,4,FALSE)))</f>
        <v>DET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9</v>
      </c>
      <c r="X6" s="47">
        <f>IF(ISERROR((VLOOKUP(S6,Pitchers!B$2:AA$795,11,FALSE))),"",(VLOOKUP(S6,Pitchers!B$2:AA$795,11,FALSE)))</f>
        <v>134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MED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335</v>
      </c>
      <c r="T7" s="46" t="str">
        <f>IF(ISERROR((VLOOKUP(S7,Pitchers!$B$1:H$800,4,FALSE))),"",(VLOOKUP(S7,Pitchers!$B$1:H$800,4,FALSE)))</f>
        <v>WSN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8</v>
      </c>
      <c r="X7" s="47">
        <f>IF(ISERROR((VLOOKUP(S7,Pitchers!B$2:AA$795,11,FALSE))),"",(VLOOKUP(S7,Pitchers!B$2:AA$795,11,FALSE)))</f>
        <v>176</v>
      </c>
      <c r="Y7" s="48"/>
      <c r="Z7" s="49"/>
      <c r="AA7" s="50"/>
      <c r="AB7" s="51" t="str">
        <f>IF(ISERROR((VLOOKUP(S7,Pitchers!B$2:AA$795,16,FALSE))),"",(VLOOKUP(S7,Pitchers!B$2:AA$795,16,FALSE)))</f>
        <v>Y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>G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35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365</v>
      </c>
      <c r="T8" s="46" t="str">
        <f>IF(ISERROR((VLOOKUP(S8,Pitchers!$B$1:H$800,4,FALSE))),"",(VLOOKUP(S8,Pitchers!$B$1:H$800,4,FALSE)))</f>
        <v>MIA</v>
      </c>
      <c r="U8" s="45" t="str">
        <f>IF(ISERROR((VLOOKUP(S8,Pitchers!B$2:AA$795,10,FALSE))),"",(VLOOKUP(S8,Pitchers!B$2:AA$795,10,FALSE)))</f>
        <v>L</v>
      </c>
      <c r="V8" s="41"/>
      <c r="W8" s="46">
        <f>IF(ISERROR((VLOOKUP(S8,Pitchers!B$2:AA$795,13,FALSE))),"",(VLOOKUP(S8,Pitchers!B$2:AA$795,13,FALSE)))</f>
        <v>3</v>
      </c>
      <c r="X8" s="47">
        <f>IF(ISERROR((VLOOKUP(S8,Pitchers!B$2:AA$795,11,FALSE))),"",(VLOOKUP(S8,Pitchers!B$2:AA$795,11,FALSE)))</f>
        <v>57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MED</v>
      </c>
    </row>
    <row r="9" spans="1:36" ht="12.75">
      <c r="A9" s="6">
        <v>4.07</v>
      </c>
      <c r="B9" s="33"/>
      <c r="C9" s="33" t="s">
        <v>35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1235</v>
      </c>
      <c r="T9" s="46" t="str">
        <f>IF(ISERROR((VLOOKUP(S9,Pitchers!$B$1:H$800,4,FALSE))),"",(VLOOKUP(S9,Pitchers!$B$1:H$800,4,FALSE)))</f>
        <v>PHI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1</v>
      </c>
      <c r="X9" s="47">
        <f>IF(ISERROR((VLOOKUP(S9,Pitchers!B$2:AA$795,11,FALSE))),"",(VLOOKUP(S9,Pitchers!B$2:AA$795,11,FALSE)))</f>
        <v>200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MED</v>
      </c>
    </row>
    <row r="10" spans="1:36" ht="12.75">
      <c r="A10" s="6">
        <v>4.08</v>
      </c>
      <c r="B10" s="33"/>
      <c r="C10" s="33" t="s">
        <v>35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/>
      <c r="T10" s="46" t="str">
        <f>IF(ISERROR((VLOOKUP(S10,Pitchers!$B$1:H$800,4,FALSE))),"",(VLOOKUP(S10,Pitchers!$B$1:H$800,4,FALSE)))</f>
        <v/>
      </c>
      <c r="U10" s="45" t="str">
        <f>IF(ISERROR((VLOOKUP(S10,Pitchers!B$2:AA$795,10,FALSE))),"",(VLOOKUP(S10,Pitchers!B$2:AA$795,10,FALSE)))</f>
        <v/>
      </c>
      <c r="V10" s="41"/>
      <c r="W10" s="46" t="str">
        <f>IF(ISERROR((VLOOKUP(S10,Pitchers!B$2:AA$795,13,FALSE))),"",(VLOOKUP(S10,Pitchers!B$2:AA$795,13,FALSE)))</f>
        <v/>
      </c>
      <c r="X10" s="47" t="str">
        <f>IF(ISERROR((VLOOKUP(S10,Pitchers!B$2:AA$795,11,FALSE))),"",(VLOOKUP(S10,Pitchers!B$2:AA$795,11,FALSE)))</f>
        <v/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/>
      </c>
      <c r="AC10" s="52" t="str">
        <f>IF(ISERROR((VLOOKUP(S10,Pitchers!B$2:AA$795,17,FALSE))),"",(VLOOKUP(S10,Pitchers!B$2:AA$795,17,FALSE)))</f>
        <v/>
      </c>
      <c r="AD10" s="53" t="str">
        <f>IF(ISERROR((VLOOKUP(S10,Pitchers!B$2:AA$795,18,FALSE))),"",(VLOOKUP(S10,Pitchers!B$2:AA$795,18,FALSE)))</f>
        <v/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MED</v>
      </c>
    </row>
    <row r="11" spans="1:36" ht="12.75">
      <c r="A11" s="6">
        <v>4.09</v>
      </c>
      <c r="B11" s="33"/>
      <c r="C11" s="33" t="s">
        <v>35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/>
      <c r="T11" s="46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MED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6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45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MED</v>
      </c>
    </row>
    <row r="14" spans="1:36" ht="12.75">
      <c r="A14" s="6">
        <v>4.12</v>
      </c>
      <c r="B14" s="33"/>
      <c r="C14" s="33" t="s">
        <v>45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MED</v>
      </c>
    </row>
    <row r="15" spans="1:36" ht="12.75">
      <c r="A15" s="6">
        <v>4.13</v>
      </c>
      <c r="B15" s="33"/>
      <c r="C15" s="33" t="s">
        <v>45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MED</v>
      </c>
    </row>
    <row r="16" spans="1:36" ht="12.75">
      <c r="A16" s="6">
        <v>4.1399999999999997</v>
      </c>
      <c r="B16" s="33"/>
      <c r="C16" s="33" t="s">
        <v>45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MED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33" t="s">
        <v>1919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MED</v>
      </c>
    </row>
    <row r="19" spans="1:36" ht="12.75">
      <c r="A19" s="6">
        <v>4.17</v>
      </c>
      <c r="B19" s="33" t="s">
        <v>32</v>
      </c>
      <c r="C19" s="33" t="s">
        <v>1919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MED</v>
      </c>
    </row>
    <row r="20" spans="1:36" ht="12.75">
      <c r="A20" s="6">
        <v>4.18</v>
      </c>
      <c r="B20" s="33" t="s">
        <v>32</v>
      </c>
      <c r="C20" s="33" t="s">
        <v>1919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MED</v>
      </c>
    </row>
    <row r="21" spans="1:36" ht="12.75">
      <c r="A21" s="6">
        <v>4.1900000000000004</v>
      </c>
      <c r="B21" s="33" t="s">
        <v>32</v>
      </c>
      <c r="C21" s="33" t="s">
        <v>1919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MED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 t="s">
        <v>32</v>
      </c>
      <c r="C23" s="33" t="s">
        <v>43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MED</v>
      </c>
    </row>
    <row r="24" spans="1:36" ht="12.75">
      <c r="A24" s="6">
        <v>4.22</v>
      </c>
      <c r="B24" s="33" t="s">
        <v>32</v>
      </c>
      <c r="C24" s="33" t="s">
        <v>43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MED</v>
      </c>
    </row>
    <row r="25" spans="1:36" ht="12.75">
      <c r="A25" s="6">
        <v>4.2300000000000004</v>
      </c>
      <c r="B25" s="33" t="s">
        <v>32</v>
      </c>
      <c r="C25" s="33" t="s">
        <v>43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MED</v>
      </c>
    </row>
    <row r="26" spans="1:36" ht="12.75">
      <c r="A26" s="6">
        <v>4.24</v>
      </c>
      <c r="B26" s="33" t="s">
        <v>32</v>
      </c>
      <c r="C26" s="33" t="s">
        <v>43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MED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33" t="s">
        <v>55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MED</v>
      </c>
    </row>
    <row r="29" spans="1:36" ht="12.75">
      <c r="A29" s="6">
        <v>4.2699999999999996</v>
      </c>
      <c r="B29" s="33" t="s">
        <v>32</v>
      </c>
      <c r="C29" s="33" t="s">
        <v>55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MED</v>
      </c>
    </row>
    <row r="30" spans="1:36" ht="12.75">
      <c r="A30" s="6">
        <v>4.28</v>
      </c>
      <c r="B30" s="33" t="s">
        <v>32</v>
      </c>
      <c r="C30" s="33" t="s">
        <v>55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MED</v>
      </c>
    </row>
    <row r="31" spans="1:36" ht="12.75">
      <c r="A31" s="6">
        <v>4.29</v>
      </c>
      <c r="B31" s="33" t="s">
        <v>32</v>
      </c>
      <c r="C31" s="33" t="s">
        <v>55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MED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 t="s">
        <v>32</v>
      </c>
      <c r="C33" s="33" t="s">
        <v>1917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MED</v>
      </c>
    </row>
    <row r="34" spans="1:36" ht="12.75">
      <c r="A34" s="6">
        <v>5.0199999999999996</v>
      </c>
      <c r="B34" s="33" t="s">
        <v>32</v>
      </c>
      <c r="C34" s="33" t="s">
        <v>1917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MED</v>
      </c>
    </row>
    <row r="35" spans="1:36" ht="12.75">
      <c r="A35" s="6">
        <v>5.03</v>
      </c>
      <c r="B35" s="33" t="s">
        <v>32</v>
      </c>
      <c r="C35" s="33" t="s">
        <v>1917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MED</v>
      </c>
    </row>
    <row r="36" spans="1:36" ht="12.75">
      <c r="A36" s="6">
        <v>5.04</v>
      </c>
      <c r="B36" s="33" t="s">
        <v>32</v>
      </c>
      <c r="C36" s="33" t="s">
        <v>1917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MED</v>
      </c>
    </row>
    <row r="37" spans="1:36" ht="12.75">
      <c r="A37" s="6">
        <v>5.05</v>
      </c>
      <c r="B37" s="33" t="s">
        <v>32</v>
      </c>
      <c r="C37" s="33" t="s">
        <v>39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MED</v>
      </c>
    </row>
    <row r="38" spans="1:36" ht="12.75">
      <c r="A38" s="6">
        <v>5.0599999999999996</v>
      </c>
      <c r="B38" s="33" t="s">
        <v>32</v>
      </c>
      <c r="C38" s="33" t="s">
        <v>39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MED</v>
      </c>
    </row>
    <row r="39" spans="1:36" ht="12.75">
      <c r="A39" s="6">
        <v>5.07</v>
      </c>
      <c r="B39" s="33" t="s">
        <v>32</v>
      </c>
      <c r="C39" s="33" t="s">
        <v>39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MED</v>
      </c>
    </row>
    <row r="40" spans="1:36" ht="12.75">
      <c r="A40" s="6">
        <v>5.08</v>
      </c>
      <c r="B40" s="33" t="s">
        <v>32</v>
      </c>
      <c r="C40" s="33" t="s">
        <v>39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MED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15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MED</v>
      </c>
    </row>
    <row r="43" spans="1:36" ht="12.75">
      <c r="A43" s="6">
        <v>5.1100000000000003</v>
      </c>
      <c r="B43" s="33"/>
      <c r="C43" s="33" t="s">
        <v>15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MED</v>
      </c>
    </row>
    <row r="44" spans="1:36" ht="12.75">
      <c r="A44" s="6">
        <v>5.12</v>
      </c>
      <c r="B44" s="33"/>
      <c r="C44" s="33" t="s">
        <v>15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MED</v>
      </c>
    </row>
    <row r="45" spans="1:36" ht="12.75">
      <c r="A45" s="6">
        <v>5.13</v>
      </c>
      <c r="B45" s="33"/>
      <c r="C45" s="33" t="s">
        <v>15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MED</v>
      </c>
    </row>
    <row r="46" spans="1:36" ht="12.75">
      <c r="A46" s="6">
        <v>5.14</v>
      </c>
      <c r="B46" s="33" t="s">
        <v>32</v>
      </c>
      <c r="C46" s="33" t="s">
        <v>44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MED</v>
      </c>
    </row>
    <row r="47" spans="1:36" ht="12.75">
      <c r="A47" s="6">
        <v>5.15</v>
      </c>
      <c r="B47" s="33" t="s">
        <v>32</v>
      </c>
      <c r="C47" s="33" t="s">
        <v>44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MED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44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MED</v>
      </c>
    </row>
    <row r="50" spans="1:36" ht="12.75">
      <c r="A50" s="6">
        <v>5.18</v>
      </c>
      <c r="B50" s="33" t="s">
        <v>32</v>
      </c>
      <c r="C50" s="33" t="s">
        <v>44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MED</v>
      </c>
    </row>
    <row r="51" spans="1:36" ht="12.75">
      <c r="A51" s="6">
        <v>5.19</v>
      </c>
      <c r="B51" s="33" t="s">
        <v>32</v>
      </c>
      <c r="C51" s="33" t="s">
        <v>41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MED</v>
      </c>
    </row>
    <row r="52" spans="1:36" ht="12.75">
      <c r="A52" s="6">
        <v>5.2</v>
      </c>
      <c r="B52" s="33" t="s">
        <v>32</v>
      </c>
      <c r="C52" s="33" t="s">
        <v>41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MED</v>
      </c>
    </row>
    <row r="53" spans="1:36" ht="12.75">
      <c r="A53" s="6">
        <v>5.21</v>
      </c>
      <c r="B53" s="33" t="s">
        <v>32</v>
      </c>
      <c r="C53" s="33" t="s">
        <v>41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MED</v>
      </c>
    </row>
    <row r="54" spans="1:36" ht="12.75">
      <c r="A54" s="6">
        <v>5.22</v>
      </c>
      <c r="B54" s="33" t="s">
        <v>32</v>
      </c>
      <c r="C54" s="33" t="s">
        <v>41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MED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51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MED</v>
      </c>
    </row>
    <row r="57" spans="1:36" ht="12.75">
      <c r="A57" s="6">
        <v>5.25</v>
      </c>
      <c r="B57" s="33" t="s">
        <v>32</v>
      </c>
      <c r="C57" s="33" t="s">
        <v>51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MED</v>
      </c>
    </row>
    <row r="58" spans="1:36" ht="12.75">
      <c r="A58" s="6">
        <v>5.26</v>
      </c>
      <c r="B58" s="33" t="s">
        <v>32</v>
      </c>
      <c r="C58" s="33" t="s">
        <v>51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MED</v>
      </c>
    </row>
    <row r="59" spans="1:36" ht="12.75">
      <c r="A59" s="6">
        <v>5.27</v>
      </c>
      <c r="B59" s="33" t="s">
        <v>32</v>
      </c>
      <c r="C59" s="33" t="s">
        <v>51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MED</v>
      </c>
    </row>
    <row r="60" spans="1:36" ht="12.75">
      <c r="A60" s="6">
        <v>5.28</v>
      </c>
      <c r="B60" s="33"/>
      <c r="C60" s="33" t="s">
        <v>47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MED</v>
      </c>
    </row>
    <row r="61" spans="1:36" ht="12.75">
      <c r="A61" s="6">
        <v>5.29</v>
      </c>
      <c r="B61" s="33"/>
      <c r="C61" s="33" t="s">
        <v>47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MED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/>
      <c r="C63" s="33" t="s">
        <v>47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MED</v>
      </c>
    </row>
    <row r="64" spans="1:36" ht="12.75">
      <c r="A64" s="6">
        <v>6.01</v>
      </c>
      <c r="B64" s="33" t="s">
        <v>32</v>
      </c>
      <c r="C64" s="33" t="s">
        <v>33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MED</v>
      </c>
    </row>
    <row r="65" spans="1:36" ht="12.75">
      <c r="A65" s="6">
        <v>6.02</v>
      </c>
      <c r="B65" s="33" t="s">
        <v>32</v>
      </c>
      <c r="C65" s="33" t="s">
        <v>33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MED</v>
      </c>
    </row>
    <row r="66" spans="1:36" ht="12.75">
      <c r="A66" s="6">
        <v>6.03</v>
      </c>
      <c r="B66" s="33" t="s">
        <v>32</v>
      </c>
      <c r="C66" s="33" t="s">
        <v>33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MED</v>
      </c>
    </row>
    <row r="67" spans="1:36" ht="12.75">
      <c r="A67" s="6">
        <v>6.04</v>
      </c>
      <c r="B67" s="33" t="s">
        <v>32</v>
      </c>
      <c r="C67" s="33" t="s">
        <v>33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MED</v>
      </c>
    </row>
    <row r="68" spans="1:36" ht="12.75">
      <c r="A68" s="6">
        <v>6.05</v>
      </c>
      <c r="B68" s="33"/>
      <c r="C68" s="33" t="s">
        <v>17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MED</v>
      </c>
    </row>
    <row r="69" spans="1:36" ht="12.75">
      <c r="A69" s="6">
        <v>6.06</v>
      </c>
      <c r="B69" s="33"/>
      <c r="C69" s="33" t="s">
        <v>17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MED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/>
      <c r="C71" s="33" t="s">
        <v>17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MED</v>
      </c>
    </row>
    <row r="72" spans="1:36" ht="12.75">
      <c r="A72" s="6">
        <v>6.09</v>
      </c>
      <c r="B72" s="33"/>
      <c r="C72" s="33" t="s">
        <v>17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MED</v>
      </c>
    </row>
    <row r="73" spans="1:36" ht="12.75">
      <c r="A73" s="6">
        <v>6.1</v>
      </c>
      <c r="B73" s="32" t="s">
        <v>32</v>
      </c>
      <c r="C73" s="33" t="s">
        <v>34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MED</v>
      </c>
    </row>
    <row r="74" spans="1:36" ht="12.75">
      <c r="A74" s="6">
        <v>6.11</v>
      </c>
      <c r="B74" s="32" t="s">
        <v>32</v>
      </c>
      <c r="C74" s="33" t="s">
        <v>34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MED</v>
      </c>
    </row>
    <row r="75" spans="1:36" ht="12.75">
      <c r="A75" s="6">
        <v>6.12</v>
      </c>
      <c r="B75" s="32" t="s">
        <v>32</v>
      </c>
      <c r="C75" s="33" t="s">
        <v>34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MED</v>
      </c>
    </row>
    <row r="76" spans="1:36" ht="12.75">
      <c r="A76" s="6">
        <v>6.13</v>
      </c>
      <c r="B76" s="32" t="s">
        <v>32</v>
      </c>
      <c r="C76" s="33" t="s">
        <v>34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MED</v>
      </c>
    </row>
    <row r="77" spans="1:36" ht="12.75">
      <c r="A77" s="6">
        <v>6.14</v>
      </c>
      <c r="B77" s="33"/>
      <c r="C77" s="33" t="s">
        <v>53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MED</v>
      </c>
    </row>
    <row r="78" spans="1:36" ht="12.75">
      <c r="A78" s="6">
        <v>6.15</v>
      </c>
      <c r="B78" s="33"/>
      <c r="C78" s="33" t="s">
        <v>53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MED</v>
      </c>
    </row>
    <row r="79" spans="1:36" ht="12.75">
      <c r="A79" s="6">
        <v>6.16</v>
      </c>
      <c r="B79" s="33"/>
      <c r="C79" s="33" t="s">
        <v>53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MED</v>
      </c>
    </row>
    <row r="80" spans="1:36" ht="12.75">
      <c r="A80" s="6">
        <v>6.17</v>
      </c>
      <c r="B80" s="33"/>
      <c r="C80" s="33" t="s">
        <v>53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MED</v>
      </c>
    </row>
    <row r="81" spans="1:36" ht="12.75">
      <c r="A81" s="6">
        <v>6.18</v>
      </c>
      <c r="B81" s="33" t="s">
        <v>32</v>
      </c>
      <c r="C81" s="33" t="s">
        <v>40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MED</v>
      </c>
    </row>
    <row r="82" spans="1:36" ht="12.75">
      <c r="A82" s="6">
        <v>6.19</v>
      </c>
      <c r="B82" s="33" t="s">
        <v>32</v>
      </c>
      <c r="C82" s="33" t="s">
        <v>40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MED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 t="s">
        <v>32</v>
      </c>
      <c r="C84" s="33" t="s">
        <v>40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MED</v>
      </c>
    </row>
    <row r="85" spans="1:36" ht="12.75">
      <c r="A85" s="6">
        <v>6.22</v>
      </c>
      <c r="B85" s="33" t="s">
        <v>32</v>
      </c>
      <c r="C85" s="33" t="s">
        <v>40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MED</v>
      </c>
    </row>
    <row r="86" spans="1:36" ht="12.75">
      <c r="A86" s="6">
        <v>6.23</v>
      </c>
      <c r="B86" s="33"/>
      <c r="C86" s="33" t="s">
        <v>16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MED</v>
      </c>
    </row>
    <row r="87" spans="1:36" ht="12.75">
      <c r="A87" s="6">
        <v>6.24</v>
      </c>
      <c r="B87" s="33"/>
      <c r="C87" s="33" t="s">
        <v>16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MED</v>
      </c>
    </row>
    <row r="88" spans="1:36" ht="12.75">
      <c r="A88" s="6">
        <v>6.25</v>
      </c>
      <c r="B88" s="33"/>
      <c r="C88" s="33" t="s">
        <v>16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MED</v>
      </c>
    </row>
    <row r="89" spans="1:36" ht="12.75">
      <c r="A89" s="6">
        <v>6.26</v>
      </c>
      <c r="B89" s="33"/>
      <c r="C89" s="33" t="s">
        <v>16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MED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5">
      <c r="A91" s="6">
        <v>6.28</v>
      </c>
      <c r="B91" s="36"/>
      <c r="C91" s="36" t="s">
        <v>52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MED</v>
      </c>
    </row>
    <row r="92" spans="1:36" ht="15">
      <c r="A92" s="6">
        <v>6.29</v>
      </c>
      <c r="B92" s="36"/>
      <c r="C92" s="36" t="s">
        <v>52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MED</v>
      </c>
    </row>
    <row r="93" spans="1:36" ht="15">
      <c r="A93" s="6">
        <v>6.3</v>
      </c>
      <c r="B93" s="36"/>
      <c r="C93" s="36" t="s">
        <v>52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MED</v>
      </c>
    </row>
    <row r="94" spans="1:36" ht="12.75">
      <c r="A94" s="6">
        <v>7.01</v>
      </c>
      <c r="B94" s="33" t="s">
        <v>32</v>
      </c>
      <c r="C94" s="33" t="s">
        <v>1918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MED</v>
      </c>
    </row>
    <row r="95" spans="1:36" ht="12.75">
      <c r="A95" s="6">
        <v>7.02</v>
      </c>
      <c r="B95" s="33" t="s">
        <v>32</v>
      </c>
      <c r="C95" s="33" t="s">
        <v>1918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MED</v>
      </c>
    </row>
    <row r="96" spans="1:36" ht="12.75">
      <c r="A96" s="6">
        <v>7.03</v>
      </c>
      <c r="B96" s="33" t="s">
        <v>32</v>
      </c>
      <c r="C96" s="33" t="s">
        <v>1918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MED</v>
      </c>
    </row>
    <row r="97" spans="1:36" ht="12.75">
      <c r="A97" s="6">
        <v>7.04</v>
      </c>
      <c r="B97" s="33" t="s">
        <v>32</v>
      </c>
      <c r="C97" s="33" t="s">
        <v>13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MED</v>
      </c>
    </row>
    <row r="98" spans="1:36" ht="12.75">
      <c r="A98" s="6">
        <v>7.05</v>
      </c>
      <c r="B98" s="33" t="s">
        <v>32</v>
      </c>
      <c r="C98" s="33" t="s">
        <v>13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MED</v>
      </c>
    </row>
    <row r="99" spans="1:36" ht="12.75">
      <c r="A99" s="6">
        <v>7.06</v>
      </c>
      <c r="B99" s="33" t="s">
        <v>32</v>
      </c>
      <c r="C99" s="33" t="s">
        <v>13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MED</v>
      </c>
    </row>
    <row r="100" spans="1:36" ht="12.75">
      <c r="A100" s="6">
        <v>7.07</v>
      </c>
      <c r="B100" s="33" t="s">
        <v>32</v>
      </c>
      <c r="C100" s="33" t="s">
        <v>49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MED</v>
      </c>
    </row>
    <row r="101" spans="1:36" ht="12.75">
      <c r="A101" s="6">
        <v>7.08</v>
      </c>
      <c r="B101" s="33" t="s">
        <v>32</v>
      </c>
      <c r="C101" s="33" t="s">
        <v>49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MED</v>
      </c>
    </row>
    <row r="102" spans="1:36" ht="12.75">
      <c r="A102" s="6">
        <v>7.09</v>
      </c>
      <c r="B102" s="33" t="s">
        <v>32</v>
      </c>
      <c r="C102" s="33" t="s">
        <v>49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MED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46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MED</v>
      </c>
    </row>
    <row r="107" spans="1:36" ht="12.75">
      <c r="A107" s="6">
        <v>7.14</v>
      </c>
      <c r="B107" s="33"/>
      <c r="C107" s="33" t="s">
        <v>46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MED</v>
      </c>
    </row>
    <row r="108" spans="1:36" ht="12.75">
      <c r="A108" s="6">
        <v>7.15</v>
      </c>
      <c r="B108" s="33"/>
      <c r="C108" s="33" t="s">
        <v>46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MED</v>
      </c>
    </row>
    <row r="109" spans="1:36" ht="12.75">
      <c r="A109" s="6">
        <v>7.16</v>
      </c>
      <c r="B109" s="33" t="s">
        <v>32</v>
      </c>
      <c r="C109" s="33" t="s">
        <v>12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MED</v>
      </c>
    </row>
    <row r="110" spans="1:36" ht="12.75">
      <c r="A110" s="6">
        <v>7.17</v>
      </c>
      <c r="B110" s="33" t="s">
        <v>32</v>
      </c>
      <c r="C110" s="33" t="s">
        <v>12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MED</v>
      </c>
    </row>
    <row r="111" spans="1:36" ht="12.75">
      <c r="A111" s="6">
        <v>7.18</v>
      </c>
      <c r="B111" s="33" t="s">
        <v>32</v>
      </c>
      <c r="C111" s="33" t="s">
        <v>12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MED</v>
      </c>
    </row>
    <row r="112" spans="1:36" ht="12.75">
      <c r="A112" s="6">
        <v>7.19</v>
      </c>
      <c r="B112" s="33"/>
      <c r="C112" s="33" t="s">
        <v>1191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MED</v>
      </c>
    </row>
    <row r="113" spans="1:36" ht="12.75">
      <c r="A113" s="6">
        <v>7.2</v>
      </c>
      <c r="B113" s="33"/>
      <c r="C113" s="33" t="s">
        <v>1191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MED</v>
      </c>
    </row>
    <row r="114" spans="1:36" ht="12.75">
      <c r="A114" s="6">
        <v>7.21</v>
      </c>
      <c r="B114" s="33"/>
      <c r="C114" s="33" t="s">
        <v>1191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MED</v>
      </c>
    </row>
    <row r="115" spans="1:36" ht="12.75">
      <c r="A115" s="6">
        <v>7.22</v>
      </c>
      <c r="B115" s="33"/>
      <c r="C115" s="33" t="s">
        <v>1191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MED</v>
      </c>
    </row>
    <row r="116" spans="1:36" ht="12.75">
      <c r="A116" s="6">
        <v>7.23</v>
      </c>
      <c r="B116" s="33"/>
      <c r="C116" s="33" t="s">
        <v>54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MED</v>
      </c>
    </row>
    <row r="117" spans="1:36" ht="12.75">
      <c r="A117" s="6">
        <v>7.24</v>
      </c>
      <c r="B117" s="33"/>
      <c r="C117" s="33" t="s">
        <v>54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MED</v>
      </c>
    </row>
    <row r="118" spans="1:36" ht="12.75">
      <c r="A118" s="6">
        <v>7.25</v>
      </c>
      <c r="B118" s="33"/>
      <c r="C118" s="33" t="s">
        <v>54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MED</v>
      </c>
    </row>
    <row r="119" spans="1:36" ht="12.75">
      <c r="A119" s="6">
        <v>7.26</v>
      </c>
      <c r="B119" s="33"/>
      <c r="C119" s="33" t="s">
        <v>54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MED</v>
      </c>
    </row>
    <row r="120" spans="1:36" ht="12.75">
      <c r="A120" s="6">
        <v>7.27</v>
      </c>
      <c r="B120" s="33"/>
      <c r="C120" s="33" t="s">
        <v>42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MED</v>
      </c>
    </row>
    <row r="121" spans="1:36" ht="12.75">
      <c r="A121" s="6">
        <v>7.28</v>
      </c>
      <c r="B121" s="33"/>
      <c r="C121" s="33" t="s">
        <v>42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MED</v>
      </c>
    </row>
    <row r="122" spans="1:36" ht="12.75">
      <c r="A122" s="6">
        <v>7.29</v>
      </c>
      <c r="B122" s="33"/>
      <c r="C122" s="33" t="s">
        <v>42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MED</v>
      </c>
    </row>
    <row r="123" spans="1:36" ht="12.75">
      <c r="A123" s="6">
        <v>7.3</v>
      </c>
      <c r="B123" s="33"/>
      <c r="C123" s="33" t="s">
        <v>42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MED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/>
      <c r="C125" s="33" t="s">
        <v>56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MED</v>
      </c>
    </row>
    <row r="126" spans="1:36" ht="12.75">
      <c r="A126" s="6">
        <v>8.02</v>
      </c>
      <c r="B126" s="33"/>
      <c r="C126" s="33" t="s">
        <v>56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MED</v>
      </c>
    </row>
    <row r="127" spans="1:36" ht="12.75">
      <c r="A127" s="6">
        <v>8.0299999999999994</v>
      </c>
      <c r="B127" s="33"/>
      <c r="C127" s="33" t="s">
        <v>56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MED</v>
      </c>
    </row>
    <row r="128" spans="1:36" ht="12.75">
      <c r="A128" s="6">
        <v>8.0399999999999991</v>
      </c>
      <c r="B128" s="33"/>
      <c r="C128" s="33" t="s">
        <v>56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MED</v>
      </c>
    </row>
    <row r="129" spans="1:36" ht="12.75">
      <c r="A129" s="6">
        <v>8.0500000000000007</v>
      </c>
      <c r="B129" s="33"/>
      <c r="C129" s="33" t="s">
        <v>1918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MED</v>
      </c>
    </row>
    <row r="130" spans="1:36" ht="12.75">
      <c r="A130" s="6">
        <v>8.06</v>
      </c>
      <c r="B130" s="33"/>
      <c r="C130" s="33" t="s">
        <v>1918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MED</v>
      </c>
    </row>
    <row r="131" spans="1:36" ht="12.75">
      <c r="A131" s="6">
        <v>8.07</v>
      </c>
      <c r="B131" s="33"/>
      <c r="C131" s="33" t="s">
        <v>1918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MED</v>
      </c>
    </row>
    <row r="132" spans="1:36" ht="12.75">
      <c r="A132" s="6">
        <v>8.08</v>
      </c>
      <c r="B132" s="33"/>
      <c r="C132" s="33" t="s">
        <v>1918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MED</v>
      </c>
    </row>
    <row r="133" spans="1:36" ht="12.75">
      <c r="A133" s="6">
        <v>8.09</v>
      </c>
      <c r="B133" s="33"/>
      <c r="C133" s="33" t="s">
        <v>12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MED</v>
      </c>
    </row>
    <row r="134" spans="1:36" ht="12.75">
      <c r="A134" s="6">
        <v>8.1</v>
      </c>
      <c r="B134" s="33"/>
      <c r="C134" s="33" t="s">
        <v>12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MED</v>
      </c>
    </row>
    <row r="135" spans="1:36" ht="12.75">
      <c r="A135" s="6">
        <v>8.11</v>
      </c>
      <c r="B135" s="33"/>
      <c r="C135" s="33" t="s">
        <v>12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MED</v>
      </c>
    </row>
    <row r="136" spans="1:36" ht="12.75">
      <c r="A136" s="6">
        <v>8.1199999999999992</v>
      </c>
      <c r="B136" s="33"/>
      <c r="C136" s="33" t="s">
        <v>12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MED</v>
      </c>
    </row>
    <row r="137" spans="1:36" ht="12.75">
      <c r="A137" s="6">
        <v>8.1300000000000008</v>
      </c>
      <c r="B137" s="33" t="s">
        <v>32</v>
      </c>
      <c r="C137" s="33" t="s">
        <v>52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MED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 t="s">
        <v>32</v>
      </c>
      <c r="C139" s="33" t="s">
        <v>52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MED</v>
      </c>
    </row>
    <row r="140" spans="1:36" ht="12.75">
      <c r="A140" s="6">
        <v>8.16</v>
      </c>
      <c r="B140" s="33" t="s">
        <v>32</v>
      </c>
      <c r="C140" s="33" t="s">
        <v>52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MED</v>
      </c>
    </row>
    <row r="141" spans="1:36" ht="12.75">
      <c r="A141" s="6">
        <v>8.17</v>
      </c>
      <c r="B141" s="33" t="s">
        <v>32</v>
      </c>
      <c r="C141" s="33" t="s">
        <v>52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MED</v>
      </c>
    </row>
    <row r="142" spans="1:36" ht="12.75">
      <c r="A142" s="6">
        <v>8.18</v>
      </c>
      <c r="B142" s="33"/>
      <c r="C142" s="33" t="s">
        <v>1917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MED</v>
      </c>
    </row>
    <row r="143" spans="1:36" ht="12.75">
      <c r="A143" s="6">
        <v>8.19</v>
      </c>
      <c r="B143" s="33"/>
      <c r="C143" s="33" t="s">
        <v>1917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MED</v>
      </c>
    </row>
    <row r="144" spans="1:36" ht="12.75">
      <c r="A144" s="6">
        <v>8.1999999999999993</v>
      </c>
      <c r="B144" s="33"/>
      <c r="C144" s="33" t="s">
        <v>1917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MED</v>
      </c>
    </row>
    <row r="145" spans="1:36" ht="12.75">
      <c r="A145" s="6">
        <v>8.2100000000000009</v>
      </c>
      <c r="B145" s="33" t="s">
        <v>32</v>
      </c>
      <c r="C145" s="33" t="s">
        <v>46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MED</v>
      </c>
    </row>
    <row r="146" spans="1:36" ht="12.75">
      <c r="A146" s="6">
        <v>8.2200000000000006</v>
      </c>
      <c r="B146" s="33" t="s">
        <v>32</v>
      </c>
      <c r="C146" s="33" t="s">
        <v>46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MED</v>
      </c>
    </row>
    <row r="147" spans="1:36" ht="12.75">
      <c r="A147" s="6">
        <v>8.23</v>
      </c>
      <c r="B147" s="33" t="s">
        <v>32</v>
      </c>
      <c r="C147" s="33" t="s">
        <v>46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MED</v>
      </c>
    </row>
    <row r="148" spans="1:36" ht="12.75">
      <c r="A148" s="6">
        <v>8.24</v>
      </c>
      <c r="B148" s="33" t="s">
        <v>32</v>
      </c>
      <c r="C148" s="33" t="s">
        <v>46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MED</v>
      </c>
    </row>
    <row r="149" spans="1:36" ht="12.75">
      <c r="A149" s="6">
        <v>8.25</v>
      </c>
      <c r="B149" s="33"/>
      <c r="C149" s="33" t="s">
        <v>13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MED</v>
      </c>
    </row>
    <row r="150" spans="1:36" ht="12.75">
      <c r="A150" s="6">
        <v>8.26</v>
      </c>
      <c r="B150" s="33"/>
      <c r="C150" s="33" t="s">
        <v>13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MED</v>
      </c>
    </row>
    <row r="151" spans="1:36" ht="12.75">
      <c r="A151" s="6">
        <v>8.27</v>
      </c>
      <c r="B151" s="33"/>
      <c r="C151" s="33" t="s">
        <v>13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MED</v>
      </c>
    </row>
    <row r="152" spans="1:36" ht="12.75">
      <c r="A152" s="6">
        <v>8.2799999999999994</v>
      </c>
      <c r="B152" s="33"/>
      <c r="C152" s="33" t="s">
        <v>13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MED</v>
      </c>
    </row>
    <row r="153" spans="1:36" ht="12.75">
      <c r="A153" s="6">
        <v>8.2899999999999991</v>
      </c>
      <c r="B153" s="33"/>
      <c r="C153" s="33" t="s">
        <v>39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MED</v>
      </c>
    </row>
    <row r="154" spans="1:36" ht="12.75">
      <c r="A154" s="6">
        <v>8.3000000000000007</v>
      </c>
      <c r="B154" s="33"/>
      <c r="C154" s="33" t="s">
        <v>39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MED</v>
      </c>
    </row>
    <row r="155" spans="1:36" ht="12.75">
      <c r="A155" s="6">
        <v>8.31</v>
      </c>
      <c r="B155" s="33"/>
      <c r="C155" s="33" t="s">
        <v>39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MED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/>
      <c r="C157" s="33" t="s">
        <v>41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MED</v>
      </c>
    </row>
    <row r="158" spans="1:36" ht="12.75">
      <c r="A158" s="6">
        <v>9.0299999999999994</v>
      </c>
      <c r="B158" s="33"/>
      <c r="C158" s="33" t="s">
        <v>41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MED</v>
      </c>
    </row>
    <row r="159" spans="1:36" ht="12.75">
      <c r="A159" s="6">
        <v>9.0399999999999991</v>
      </c>
      <c r="B159" s="33"/>
      <c r="C159" s="33" t="s">
        <v>41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MED</v>
      </c>
    </row>
    <row r="160" spans="1:36" ht="12.75">
      <c r="A160" s="6">
        <v>9.0500000000000007</v>
      </c>
      <c r="B160" s="33" t="s">
        <v>32</v>
      </c>
      <c r="C160" s="33" t="s">
        <v>17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MED</v>
      </c>
    </row>
    <row r="161" spans="1:36" ht="12.75">
      <c r="A161" s="6">
        <v>9.06</v>
      </c>
      <c r="B161" s="33" t="s">
        <v>32</v>
      </c>
      <c r="C161" s="33" t="s">
        <v>17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MED</v>
      </c>
    </row>
    <row r="162" spans="1:36" ht="12.75">
      <c r="A162" s="6">
        <v>9.07</v>
      </c>
      <c r="B162" s="33" t="s">
        <v>32</v>
      </c>
      <c r="C162" s="33" t="s">
        <v>17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MED</v>
      </c>
    </row>
    <row r="163" spans="1:36" ht="12.75">
      <c r="A163" s="6">
        <v>9.08</v>
      </c>
      <c r="B163" s="33"/>
      <c r="C163" s="33" t="s">
        <v>44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MED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44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MED</v>
      </c>
    </row>
    <row r="166" spans="1:36" ht="12.75">
      <c r="A166" s="6">
        <v>9.11</v>
      </c>
      <c r="B166" s="33"/>
      <c r="C166" s="33" t="s">
        <v>44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MED</v>
      </c>
    </row>
    <row r="167" spans="1:36" ht="12.75">
      <c r="A167" s="6">
        <v>9.1199999999999992</v>
      </c>
      <c r="B167" s="33" t="s">
        <v>32</v>
      </c>
      <c r="C167" s="33" t="s">
        <v>47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MED</v>
      </c>
    </row>
    <row r="168" spans="1:36" ht="12.75">
      <c r="A168" s="6">
        <v>9.1300000000000008</v>
      </c>
      <c r="B168" s="33" t="s">
        <v>32</v>
      </c>
      <c r="C168" s="33" t="s">
        <v>47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MED</v>
      </c>
    </row>
    <row r="169" spans="1:36" ht="12.75">
      <c r="A169" s="6">
        <v>9.14</v>
      </c>
      <c r="B169" s="33" t="s">
        <v>32</v>
      </c>
      <c r="C169" s="33" t="s">
        <v>47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MED</v>
      </c>
    </row>
    <row r="170" spans="1:36" ht="12.75">
      <c r="A170" s="6">
        <v>9.15</v>
      </c>
      <c r="B170" s="33" t="s">
        <v>32</v>
      </c>
      <c r="C170" s="33" t="s">
        <v>47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MED</v>
      </c>
    </row>
    <row r="171" spans="1:36" ht="12.75">
      <c r="A171" s="6">
        <v>9.16</v>
      </c>
      <c r="B171" s="32" t="s">
        <v>32</v>
      </c>
      <c r="C171" s="33" t="s">
        <v>56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MED</v>
      </c>
    </row>
    <row r="172" spans="1:36" ht="12.75">
      <c r="A172" s="6">
        <v>9.17</v>
      </c>
      <c r="B172" s="32" t="s">
        <v>32</v>
      </c>
      <c r="C172" s="33" t="s">
        <v>56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MED</v>
      </c>
    </row>
    <row r="173" spans="1:36" ht="12.75">
      <c r="A173" s="6">
        <v>9.18</v>
      </c>
      <c r="B173" s="32" t="s">
        <v>32</v>
      </c>
      <c r="C173" s="33" t="s">
        <v>56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MED</v>
      </c>
    </row>
    <row r="174" spans="1:36" ht="12.75">
      <c r="A174" s="6">
        <v>9.19</v>
      </c>
      <c r="B174" s="34"/>
      <c r="C174" s="33" t="s">
        <v>49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MED</v>
      </c>
    </row>
    <row r="175" spans="1:36" ht="12.75">
      <c r="A175" s="6">
        <v>9.1999999999999993</v>
      </c>
      <c r="B175" s="34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4"/>
      <c r="C176" s="33" t="s">
        <v>49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MED</v>
      </c>
    </row>
    <row r="177" spans="1:36" ht="12.75">
      <c r="A177" s="6">
        <v>9.2200000000000006</v>
      </c>
      <c r="B177" s="34"/>
      <c r="C177" s="33" t="s">
        <v>49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MED</v>
      </c>
    </row>
    <row r="178" spans="1:36" ht="12.75">
      <c r="A178" s="6">
        <v>9.23</v>
      </c>
      <c r="B178" s="33"/>
      <c r="C178" s="33" t="s">
        <v>49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MED</v>
      </c>
    </row>
    <row r="179" spans="1:36" ht="12.75">
      <c r="A179" s="6">
        <v>9.24</v>
      </c>
      <c r="B179" s="33" t="s">
        <v>32</v>
      </c>
      <c r="C179" s="33" t="s">
        <v>48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MED</v>
      </c>
    </row>
    <row r="180" spans="1:36" ht="12.75">
      <c r="A180" s="6">
        <v>9.25</v>
      </c>
      <c r="B180" s="33" t="s">
        <v>32</v>
      </c>
      <c r="C180" s="33" t="s">
        <v>48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MED</v>
      </c>
    </row>
    <row r="181" spans="1:36" ht="12.75">
      <c r="A181" s="6">
        <v>9.26</v>
      </c>
      <c r="B181" s="33" t="s">
        <v>32</v>
      </c>
      <c r="C181" s="33" t="s">
        <v>48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MED</v>
      </c>
    </row>
    <row r="182" spans="1:36" ht="12.75">
      <c r="A182" s="6">
        <v>9.27</v>
      </c>
      <c r="B182" s="33" t="s">
        <v>32</v>
      </c>
      <c r="C182" s="33" t="s">
        <v>16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MED</v>
      </c>
    </row>
    <row r="183" spans="1:36" ht="12.75">
      <c r="A183" s="6">
        <v>9.2799999999999994</v>
      </c>
      <c r="B183" s="33" t="s">
        <v>32</v>
      </c>
      <c r="C183" s="33" t="s">
        <v>16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MED</v>
      </c>
    </row>
    <row r="184" spans="1:36" ht="12.75">
      <c r="A184" s="6">
        <v>9.2899999999999991</v>
      </c>
      <c r="B184" s="33" t="s">
        <v>32</v>
      </c>
      <c r="C184" s="33" t="s">
        <v>16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MED</v>
      </c>
    </row>
    <row r="185" spans="1:36" ht="12.75">
      <c r="A185" s="6">
        <v>9.3000000000000007</v>
      </c>
      <c r="B185" s="33" t="s">
        <v>32</v>
      </c>
      <c r="C185" s="33" t="s">
        <v>16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MED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K197" s="2"/>
      <c r="AJ197" s="2"/>
    </row>
    <row r="198" spans="3:36">
      <c r="C198" s="2"/>
      <c r="K198" s="2"/>
      <c r="AJ198" s="2"/>
    </row>
    <row r="199" spans="3:36">
      <c r="C199" s="2"/>
      <c r="K199" s="2"/>
      <c r="AJ199" s="2"/>
    </row>
    <row r="200" spans="3:36">
      <c r="C200" s="2"/>
      <c r="K200" s="2"/>
      <c r="AJ200" s="2"/>
    </row>
    <row r="201" spans="3:36">
      <c r="C201" s="2"/>
      <c r="K201" s="2"/>
      <c r="AJ201" s="2"/>
    </row>
    <row r="202" spans="3:36">
      <c r="C202" s="2"/>
      <c r="K202" s="2"/>
      <c r="AJ202" s="2"/>
    </row>
    <row r="203" spans="3:36">
      <c r="C203" s="2"/>
      <c r="K203" s="2"/>
      <c r="AJ203" s="2"/>
    </row>
    <row r="204" spans="3:36">
      <c r="C204" s="2"/>
      <c r="AJ204" s="2"/>
    </row>
    <row r="205" spans="3:36">
      <c r="C205" s="2"/>
      <c r="AJ205" s="2"/>
    </row>
    <row r="206" spans="3:36">
      <c r="C206" s="2"/>
      <c r="AJ206" s="2"/>
    </row>
    <row r="207" spans="3:36">
      <c r="C207" s="2"/>
      <c r="AJ207" s="2"/>
    </row>
    <row r="208" spans="3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</sheetData>
  <phoneticPr fontId="0" type="noConversion"/>
  <conditionalFormatting sqref="AK3:AK22">
    <cfRule type="cellIs" dxfId="4523" priority="763" stopIfTrue="1" operator="equal">
      <formula>"must average at least 5 innings per start"</formula>
    </cfRule>
  </conditionalFormatting>
  <conditionalFormatting sqref="AK23">
    <cfRule type="cellIs" dxfId="4522" priority="764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21" priority="765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4520" priority="766" stopIfTrue="1" operator="equal">
      <formula>"input a different starter in column C"</formula>
    </cfRule>
  </conditionalFormatting>
  <conditionalFormatting sqref="AH3:AH22">
    <cfRule type="cellIs" dxfId="4519" priority="319" stopIfTrue="1" operator="equal">
      <formula>"must average at least 5 innings per start"</formula>
    </cfRule>
  </conditionalFormatting>
  <conditionalFormatting sqref="AH23">
    <cfRule type="cellIs" dxfId="4518" priority="318" stopIfTrue="1" operator="equal">
      <formula>"must have 162 starts"</formula>
    </cfRule>
  </conditionalFormatting>
  <conditionalFormatting sqref="AG3:AG22">
    <cfRule type="cellIs" dxfId="4517" priority="317" stopIfTrue="1" operator="equal">
      <formula>"must average at least 5 innings per start"</formula>
    </cfRule>
  </conditionalFormatting>
  <conditionalFormatting sqref="AG23">
    <cfRule type="cellIs" dxfId="4516" priority="316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15" priority="31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14" priority="31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13" priority="31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12" priority="31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11" priority="31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10" priority="31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09" priority="30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08" priority="30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07" priority="30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06" priority="30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05" priority="30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04" priority="30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03" priority="30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502" priority="302" stopIfTrue="1" operator="equal">
      <formula>"input starter in column C"</formula>
    </cfRule>
  </conditionalFormatting>
  <conditionalFormatting sqref="P3">
    <cfRule type="cellIs" dxfId="4501" priority="301" stopIfTrue="1" operator="equal">
      <formula>"input starter in column D"</formula>
    </cfRule>
  </conditionalFormatting>
  <conditionalFormatting sqref="P4">
    <cfRule type="cellIs" dxfId="4500" priority="300" stopIfTrue="1" operator="equal">
      <formula>"input starter in column D"</formula>
    </cfRule>
  </conditionalFormatting>
  <conditionalFormatting sqref="P5">
    <cfRule type="cellIs" dxfId="4499" priority="299" stopIfTrue="1" operator="equal">
      <formula>"INPUT STARTER IN COLUMN D"</formula>
    </cfRule>
  </conditionalFormatting>
  <conditionalFormatting sqref="P6">
    <cfRule type="cellIs" dxfId="4498" priority="298" stopIfTrue="1" operator="equal">
      <formula>"INPUT STARTER IN COLUMN D"</formula>
    </cfRule>
  </conditionalFormatting>
  <conditionalFormatting sqref="P8">
    <cfRule type="cellIs" dxfId="4497" priority="297" stopIfTrue="1" operator="equal">
      <formula>"INPUT STARTER IN COLUMN D"</formula>
    </cfRule>
  </conditionalFormatting>
  <conditionalFormatting sqref="P9">
    <cfRule type="cellIs" dxfId="4496" priority="296" stopIfTrue="1" operator="equal">
      <formula>"INPUT STARTER IN COLUMN D"</formula>
    </cfRule>
  </conditionalFormatting>
  <conditionalFormatting sqref="P10">
    <cfRule type="cellIs" dxfId="4495" priority="295" stopIfTrue="1" operator="equal">
      <formula>"INPUT STARTER IN COLUMN D"</formula>
    </cfRule>
  </conditionalFormatting>
  <conditionalFormatting sqref="P11">
    <cfRule type="cellIs" dxfId="4494" priority="294" stopIfTrue="1" operator="equal">
      <formula>"INPUT STARTER IN COLUMN D"</formula>
    </cfRule>
  </conditionalFormatting>
  <conditionalFormatting sqref="P13">
    <cfRule type="cellIs" dxfId="4493" priority="293" stopIfTrue="1" operator="equal">
      <formula>"INPUT STARTER IN COLUMN D"</formula>
    </cfRule>
  </conditionalFormatting>
  <conditionalFormatting sqref="P14">
    <cfRule type="cellIs" dxfId="4492" priority="292" stopIfTrue="1" operator="equal">
      <formula>"INPUT STARTER IN COLUMN D"</formula>
    </cfRule>
  </conditionalFormatting>
  <conditionalFormatting sqref="P15">
    <cfRule type="cellIs" dxfId="4491" priority="291" stopIfTrue="1" operator="equal">
      <formula>"INPUT STARTER IN COLUMN D"</formula>
    </cfRule>
  </conditionalFormatting>
  <conditionalFormatting sqref="P16">
    <cfRule type="cellIs" dxfId="4490" priority="290" stopIfTrue="1" operator="equal">
      <formula>"INPUT STARTER IN COLUMN D"</formula>
    </cfRule>
  </conditionalFormatting>
  <conditionalFormatting sqref="P18">
    <cfRule type="cellIs" dxfId="4489" priority="289" stopIfTrue="1" operator="equal">
      <formula>"INPUT STARTER IN COLUMN D"</formula>
    </cfRule>
  </conditionalFormatting>
  <conditionalFormatting sqref="P19">
    <cfRule type="cellIs" dxfId="4488" priority="288" stopIfTrue="1" operator="equal">
      <formula>"INPUT STARTER IN COLUMN D"</formula>
    </cfRule>
  </conditionalFormatting>
  <conditionalFormatting sqref="P20">
    <cfRule type="cellIs" dxfId="4487" priority="287" stopIfTrue="1" operator="equal">
      <formula>"INPUT STARTER IN COLUMN D"</formula>
    </cfRule>
  </conditionalFormatting>
  <conditionalFormatting sqref="P21">
    <cfRule type="cellIs" dxfId="4486" priority="286" stopIfTrue="1" operator="equal">
      <formula>"INPUT STARTER IN COLUMN D"</formula>
    </cfRule>
  </conditionalFormatting>
  <conditionalFormatting sqref="P23">
    <cfRule type="cellIs" dxfId="4485" priority="285" stopIfTrue="1" operator="equal">
      <formula>"INPUT STARTER IN COLUMN D"</formula>
    </cfRule>
  </conditionalFormatting>
  <conditionalFormatting sqref="P24">
    <cfRule type="cellIs" dxfId="4484" priority="284" stopIfTrue="1" operator="equal">
      <formula>"INPUT STARTER IN COLUMN D"</formula>
    </cfRule>
  </conditionalFormatting>
  <conditionalFormatting sqref="P25">
    <cfRule type="cellIs" dxfId="4483" priority="283" stopIfTrue="1" operator="equal">
      <formula>"INPUT STARTER IN COLUMN D"</formula>
    </cfRule>
  </conditionalFormatting>
  <conditionalFormatting sqref="P26">
    <cfRule type="cellIs" dxfId="4482" priority="282" stopIfTrue="1" operator="equal">
      <formula>"INPUT STARTER IN COLUMN D"</formula>
    </cfRule>
  </conditionalFormatting>
  <conditionalFormatting sqref="P28">
    <cfRule type="cellIs" dxfId="4481" priority="281" stopIfTrue="1" operator="equal">
      <formula>"INPUT STARTER IN COLUMN D"</formula>
    </cfRule>
  </conditionalFormatting>
  <conditionalFormatting sqref="P29">
    <cfRule type="cellIs" dxfId="4480" priority="280" stopIfTrue="1" operator="equal">
      <formula>"INPUT STARTER IN COLUMN D"</formula>
    </cfRule>
  </conditionalFormatting>
  <conditionalFormatting sqref="P30">
    <cfRule type="cellIs" dxfId="4479" priority="279" stopIfTrue="1" operator="equal">
      <formula>"INPUT STARTER IN COLUMN D"</formula>
    </cfRule>
  </conditionalFormatting>
  <conditionalFormatting sqref="P31">
    <cfRule type="cellIs" dxfId="4478" priority="278" stopIfTrue="1" operator="equal">
      <formula>"INPUT STARTER IN COLUMN D"</formula>
    </cfRule>
  </conditionalFormatting>
  <conditionalFormatting sqref="P33">
    <cfRule type="cellIs" dxfId="4477" priority="277" stopIfTrue="1" operator="equal">
      <formula>"INPUT STARTER IN COLUMN D"</formula>
    </cfRule>
  </conditionalFormatting>
  <conditionalFormatting sqref="P34">
    <cfRule type="cellIs" dxfId="4476" priority="276" stopIfTrue="1" operator="equal">
      <formula>"INPUT STARTER IN COLUMN D"</formula>
    </cfRule>
  </conditionalFormatting>
  <conditionalFormatting sqref="P35">
    <cfRule type="cellIs" dxfId="4475" priority="275" stopIfTrue="1" operator="equal">
      <formula>"INPUT STARTER IN COLUMN D"</formula>
    </cfRule>
  </conditionalFormatting>
  <conditionalFormatting sqref="P36">
    <cfRule type="cellIs" dxfId="4474" priority="274" stopIfTrue="1" operator="equal">
      <formula>"INPUT STARTER IN COLUMN D"</formula>
    </cfRule>
  </conditionalFormatting>
  <conditionalFormatting sqref="P37">
    <cfRule type="cellIs" dxfId="4473" priority="273" stopIfTrue="1" operator="equal">
      <formula>"INPUT STARTER IN COLUMN D"</formula>
    </cfRule>
  </conditionalFormatting>
  <conditionalFormatting sqref="P38">
    <cfRule type="cellIs" dxfId="4472" priority="272" stopIfTrue="1" operator="equal">
      <formula>"INPUT STARTER IN COLUMN D"</formula>
    </cfRule>
  </conditionalFormatting>
  <conditionalFormatting sqref="P39">
    <cfRule type="cellIs" dxfId="4471" priority="271" stopIfTrue="1" operator="equal">
      <formula>"INPUT STARTER IN COLUMN D"</formula>
    </cfRule>
  </conditionalFormatting>
  <conditionalFormatting sqref="P40">
    <cfRule type="cellIs" dxfId="4470" priority="270" stopIfTrue="1" operator="equal">
      <formula>"INPUT STARTER IN COLUMN D"</formula>
    </cfRule>
  </conditionalFormatting>
  <conditionalFormatting sqref="P42">
    <cfRule type="cellIs" dxfId="4469" priority="269" stopIfTrue="1" operator="equal">
      <formula>"INPUT STARTER IN COLUMN D"</formula>
    </cfRule>
  </conditionalFormatting>
  <conditionalFormatting sqref="P43">
    <cfRule type="cellIs" dxfId="4468" priority="268" stopIfTrue="1" operator="equal">
      <formula>"INPUT STARTER IN COLUMN D"</formula>
    </cfRule>
  </conditionalFormatting>
  <conditionalFormatting sqref="P44">
    <cfRule type="cellIs" dxfId="4467" priority="267" stopIfTrue="1" operator="equal">
      <formula>"INPUT STARTER IN COLUMN D"</formula>
    </cfRule>
  </conditionalFormatting>
  <conditionalFormatting sqref="P45">
    <cfRule type="cellIs" dxfId="4466" priority="266" stopIfTrue="1" operator="equal">
      <formula>"INPUT STARTER IN COLUMN D"</formula>
    </cfRule>
  </conditionalFormatting>
  <conditionalFormatting sqref="P46">
    <cfRule type="cellIs" dxfId="4465" priority="265" stopIfTrue="1" operator="equal">
      <formula>"INPUT STARTER IN COLUMN D"</formula>
    </cfRule>
  </conditionalFormatting>
  <conditionalFormatting sqref="P47">
    <cfRule type="cellIs" dxfId="4464" priority="264" stopIfTrue="1" operator="equal">
      <formula>"INPUT STARTER IN COLUMN D"</formula>
    </cfRule>
  </conditionalFormatting>
  <conditionalFormatting sqref="P49">
    <cfRule type="cellIs" dxfId="4463" priority="263" stopIfTrue="1" operator="equal">
      <formula>"INPUT STARTER IN COLUMN D"</formula>
    </cfRule>
  </conditionalFormatting>
  <conditionalFormatting sqref="P50">
    <cfRule type="cellIs" dxfId="4462" priority="262" stopIfTrue="1" operator="equal">
      <formula>"INPUT STARTER IN COLUMN D"</formula>
    </cfRule>
  </conditionalFormatting>
  <conditionalFormatting sqref="P51">
    <cfRule type="cellIs" dxfId="4461" priority="261" stopIfTrue="1" operator="equal">
      <formula>"INPUT STARTER IN COLUMN D"</formula>
    </cfRule>
  </conditionalFormatting>
  <conditionalFormatting sqref="P52">
    <cfRule type="cellIs" dxfId="4460" priority="260" stopIfTrue="1" operator="equal">
      <formula>"INPUT STARTER IN COLUMN D"</formula>
    </cfRule>
  </conditionalFormatting>
  <conditionalFormatting sqref="P53">
    <cfRule type="cellIs" dxfId="4459" priority="259" stopIfTrue="1" operator="equal">
      <formula>"INPUT STARTER IN COLUMN D"</formula>
    </cfRule>
  </conditionalFormatting>
  <conditionalFormatting sqref="P54">
    <cfRule type="cellIs" dxfId="4458" priority="258" stopIfTrue="1" operator="equal">
      <formula>"INPUT STARTER IN COLUMN D"</formula>
    </cfRule>
  </conditionalFormatting>
  <conditionalFormatting sqref="P56">
    <cfRule type="cellIs" dxfId="4457" priority="257" stopIfTrue="1" operator="equal">
      <formula>"INPUT STARTER IN COLUMN D"</formula>
    </cfRule>
  </conditionalFormatting>
  <conditionalFormatting sqref="P57">
    <cfRule type="cellIs" dxfId="4456" priority="256" stopIfTrue="1" operator="equal">
      <formula>"INPUT STARTER IN COLUMN D"</formula>
    </cfRule>
  </conditionalFormatting>
  <conditionalFormatting sqref="P58">
    <cfRule type="cellIs" dxfId="4455" priority="255" stopIfTrue="1" operator="equal">
      <formula>"INPUT STARTER IN COLUMN D"</formula>
    </cfRule>
  </conditionalFormatting>
  <conditionalFormatting sqref="P59">
    <cfRule type="cellIs" dxfId="4454" priority="254" stopIfTrue="1" operator="equal">
      <formula>"INPUT STARTER IN COLUMN D"</formula>
    </cfRule>
  </conditionalFormatting>
  <conditionalFormatting sqref="P60">
    <cfRule type="cellIs" dxfId="4453" priority="253" stopIfTrue="1" operator="equal">
      <formula>"INPUT STARTER IN COLUMN D"</formula>
    </cfRule>
  </conditionalFormatting>
  <conditionalFormatting sqref="P61">
    <cfRule type="cellIs" dxfId="4452" priority="252" stopIfTrue="1" operator="equal">
      <formula>"INPUT STARTER IN COLUMN D"</formula>
    </cfRule>
  </conditionalFormatting>
  <conditionalFormatting sqref="P63">
    <cfRule type="cellIs" dxfId="4451" priority="251" stopIfTrue="1" operator="equal">
      <formula>"INPUT STARTER IN COLUMN D"</formula>
    </cfRule>
  </conditionalFormatting>
  <conditionalFormatting sqref="P64">
    <cfRule type="cellIs" dxfId="4450" priority="250" stopIfTrue="1" operator="equal">
      <formula>"INPUT STARTER IN COLUMN D"</formula>
    </cfRule>
  </conditionalFormatting>
  <conditionalFormatting sqref="P65">
    <cfRule type="cellIs" dxfId="4449" priority="249" stopIfTrue="1" operator="equal">
      <formula>"INPUT STARTER IN COLUMN D"</formula>
    </cfRule>
  </conditionalFormatting>
  <conditionalFormatting sqref="P66">
    <cfRule type="cellIs" dxfId="4448" priority="248" stopIfTrue="1" operator="equal">
      <formula>"INPUT STARTER IN COLUMN D"</formula>
    </cfRule>
  </conditionalFormatting>
  <conditionalFormatting sqref="P67">
    <cfRule type="cellIs" dxfId="4447" priority="247" stopIfTrue="1" operator="equal">
      <formula>"INPUT STARTER IN COLUMN D"</formula>
    </cfRule>
  </conditionalFormatting>
  <conditionalFormatting sqref="P68">
    <cfRule type="cellIs" dxfId="4446" priority="246" stopIfTrue="1" operator="equal">
      <formula>"INPUT STARTER IN COLUMN D"</formula>
    </cfRule>
  </conditionalFormatting>
  <conditionalFormatting sqref="P69">
    <cfRule type="cellIs" dxfId="4445" priority="245" stopIfTrue="1" operator="equal">
      <formula>"INPUT STARTER IN COLUMN D"</formula>
    </cfRule>
  </conditionalFormatting>
  <conditionalFormatting sqref="P71">
    <cfRule type="cellIs" dxfId="4444" priority="244" stopIfTrue="1" operator="equal">
      <formula>"INPUT STARTER IN COLUMN D"</formula>
    </cfRule>
  </conditionalFormatting>
  <conditionalFormatting sqref="P72">
    <cfRule type="cellIs" dxfId="4443" priority="243" stopIfTrue="1" operator="equal">
      <formula>"INPUT STARTER IN COLUMN D"</formula>
    </cfRule>
  </conditionalFormatting>
  <conditionalFormatting sqref="P73">
    <cfRule type="cellIs" dxfId="4442" priority="242" stopIfTrue="1" operator="equal">
      <formula>"INPUT STARTER IN COLUMN D"</formula>
    </cfRule>
  </conditionalFormatting>
  <conditionalFormatting sqref="P74">
    <cfRule type="cellIs" dxfId="4441" priority="241" stopIfTrue="1" operator="equal">
      <formula>"INPUT STARTER IN COLUMN D"</formula>
    </cfRule>
  </conditionalFormatting>
  <conditionalFormatting sqref="P75">
    <cfRule type="cellIs" dxfId="4440" priority="240" stopIfTrue="1" operator="equal">
      <formula>"INPUT STARTER IN COLUMN D"</formula>
    </cfRule>
  </conditionalFormatting>
  <conditionalFormatting sqref="P76">
    <cfRule type="cellIs" dxfId="4439" priority="239" stopIfTrue="1" operator="equal">
      <formula>"INPUT STARTER IN COLUMN D"</formula>
    </cfRule>
  </conditionalFormatting>
  <conditionalFormatting sqref="P77">
    <cfRule type="cellIs" dxfId="4438" priority="238" stopIfTrue="1" operator="equal">
      <formula>"INPUT STARTER IN COLUMN D"</formula>
    </cfRule>
  </conditionalFormatting>
  <conditionalFormatting sqref="P78">
    <cfRule type="cellIs" dxfId="4437" priority="237" stopIfTrue="1" operator="equal">
      <formula>"INPUT STARTER IN COLUMN D"</formula>
    </cfRule>
  </conditionalFormatting>
  <conditionalFormatting sqref="P79">
    <cfRule type="cellIs" dxfId="4436" priority="236" stopIfTrue="1" operator="equal">
      <formula>"INPUT STARTER IN COLUMN D"</formula>
    </cfRule>
  </conditionalFormatting>
  <conditionalFormatting sqref="P80">
    <cfRule type="cellIs" dxfId="4435" priority="235" stopIfTrue="1" operator="equal">
      <formula>"INPUT STARTER IN COLUMN D"</formula>
    </cfRule>
  </conditionalFormatting>
  <conditionalFormatting sqref="P81">
    <cfRule type="cellIs" dxfId="4434" priority="234" stopIfTrue="1" operator="equal">
      <formula>"INPUT STARTER IN COLUMN D"</formula>
    </cfRule>
  </conditionalFormatting>
  <conditionalFormatting sqref="P82">
    <cfRule type="cellIs" dxfId="4433" priority="233" stopIfTrue="1" operator="equal">
      <formula>"INPUT STARTER IN COLUMN D"</formula>
    </cfRule>
  </conditionalFormatting>
  <conditionalFormatting sqref="P84">
    <cfRule type="cellIs" dxfId="4432" priority="232" stopIfTrue="1" operator="equal">
      <formula>"INPUT STARTER IN COLUMN D"</formula>
    </cfRule>
  </conditionalFormatting>
  <conditionalFormatting sqref="P85">
    <cfRule type="cellIs" dxfId="4431" priority="231" stopIfTrue="1" operator="equal">
      <formula>"INPUT STARTER IN COLUMN D"</formula>
    </cfRule>
  </conditionalFormatting>
  <conditionalFormatting sqref="P86">
    <cfRule type="cellIs" dxfId="4430" priority="230" stopIfTrue="1" operator="equal">
      <formula>"INPUT STARTER IN COLUMN D"</formula>
    </cfRule>
  </conditionalFormatting>
  <conditionalFormatting sqref="P87">
    <cfRule type="cellIs" dxfId="4429" priority="229" stopIfTrue="1" operator="equal">
      <formula>"INPUT STARTER IN COLUMN D"</formula>
    </cfRule>
  </conditionalFormatting>
  <conditionalFormatting sqref="P88">
    <cfRule type="cellIs" dxfId="4428" priority="228" stopIfTrue="1" operator="equal">
      <formula>"INPUT STARTER IN COLUMN D"</formula>
    </cfRule>
  </conditionalFormatting>
  <conditionalFormatting sqref="P89">
    <cfRule type="cellIs" dxfId="4427" priority="227" stopIfTrue="1" operator="equal">
      <formula>"INPUT STARTER IN COLUMN D"</formula>
    </cfRule>
  </conditionalFormatting>
  <conditionalFormatting sqref="P91">
    <cfRule type="cellIs" dxfId="4426" priority="226" stopIfTrue="1" operator="equal">
      <formula>"INPUT STARTER IN COLUMN D"</formula>
    </cfRule>
  </conditionalFormatting>
  <conditionalFormatting sqref="P92">
    <cfRule type="cellIs" dxfId="4425" priority="225" stopIfTrue="1" operator="equal">
      <formula>"INPUT STARTER IN COLUMN D"</formula>
    </cfRule>
  </conditionalFormatting>
  <conditionalFormatting sqref="P93">
    <cfRule type="cellIs" dxfId="4424" priority="224" stopIfTrue="1" operator="equal">
      <formula>"INPUT STARTER IN COLUMN D"</formula>
    </cfRule>
  </conditionalFormatting>
  <conditionalFormatting sqref="P94">
    <cfRule type="cellIs" dxfId="4423" priority="223" stopIfTrue="1" operator="equal">
      <formula>"INPUT STARTER IN COLUMN D"</formula>
    </cfRule>
  </conditionalFormatting>
  <conditionalFormatting sqref="P95">
    <cfRule type="cellIs" dxfId="4422" priority="222" stopIfTrue="1" operator="equal">
      <formula>"INPUT STARTER IN COLUMN D"</formula>
    </cfRule>
  </conditionalFormatting>
  <conditionalFormatting sqref="P96">
    <cfRule type="cellIs" dxfId="4421" priority="221" stopIfTrue="1" operator="equal">
      <formula>"INPUT STARTER IN COLUMN D"</formula>
    </cfRule>
  </conditionalFormatting>
  <conditionalFormatting sqref="P97">
    <cfRule type="cellIs" dxfId="4420" priority="220" stopIfTrue="1" operator="equal">
      <formula>"INPUT STARTER IN COLUMN D"</formula>
    </cfRule>
  </conditionalFormatting>
  <conditionalFormatting sqref="P98">
    <cfRule type="cellIs" dxfId="4419" priority="219" stopIfTrue="1" operator="equal">
      <formula>"INPUT STARTER IN COLUMN D"</formula>
    </cfRule>
  </conditionalFormatting>
  <conditionalFormatting sqref="P99">
    <cfRule type="cellIs" dxfId="4418" priority="218" stopIfTrue="1" operator="equal">
      <formula>"INPUT STARTER IN COLUMN D"</formula>
    </cfRule>
  </conditionalFormatting>
  <conditionalFormatting sqref="P100">
    <cfRule type="cellIs" dxfId="4417" priority="217" stopIfTrue="1" operator="equal">
      <formula>"INPUT STARTER IN COLUMN D"</formula>
    </cfRule>
  </conditionalFormatting>
  <conditionalFormatting sqref="P101">
    <cfRule type="cellIs" dxfId="4416" priority="216" stopIfTrue="1" operator="equal">
      <formula>"INPUT STARTER IN COLUMN D"</formula>
    </cfRule>
  </conditionalFormatting>
  <conditionalFormatting sqref="P102">
    <cfRule type="cellIs" dxfId="4415" priority="215" stopIfTrue="1" operator="equal">
      <formula>"INPUT STARTER IN COLUMN D"</formula>
    </cfRule>
  </conditionalFormatting>
  <conditionalFormatting sqref="P106">
    <cfRule type="cellIs" dxfId="4414" priority="214" stopIfTrue="1" operator="equal">
      <formula>"INPUT STARTER IN COLUMN D"</formula>
    </cfRule>
  </conditionalFormatting>
  <conditionalFormatting sqref="P107">
    <cfRule type="cellIs" dxfId="4413" priority="213" stopIfTrue="1" operator="equal">
      <formula>"INPUT STARTER IN COLUMN D"</formula>
    </cfRule>
  </conditionalFormatting>
  <conditionalFormatting sqref="P108">
    <cfRule type="cellIs" dxfId="4412" priority="212" stopIfTrue="1" operator="equal">
      <formula>"INPUT STARTER IN COLUMN D"</formula>
    </cfRule>
  </conditionalFormatting>
  <conditionalFormatting sqref="P109">
    <cfRule type="cellIs" dxfId="4411" priority="211" stopIfTrue="1" operator="equal">
      <formula>"INPUT STARTER IN COLUMN D"</formula>
    </cfRule>
  </conditionalFormatting>
  <conditionalFormatting sqref="P110">
    <cfRule type="cellIs" dxfId="4410" priority="210" stopIfTrue="1" operator="equal">
      <formula>"INPUT STARTER IN COLUMN D"</formula>
    </cfRule>
  </conditionalFormatting>
  <conditionalFormatting sqref="P111">
    <cfRule type="cellIs" dxfId="4409" priority="209" stopIfTrue="1" operator="equal">
      <formula>"INPUT STARTER IN COLUMN D"</formula>
    </cfRule>
  </conditionalFormatting>
  <conditionalFormatting sqref="P112">
    <cfRule type="cellIs" dxfId="4408" priority="208" stopIfTrue="1" operator="equal">
      <formula>"INPUT STARTER IN COLUMN D"</formula>
    </cfRule>
  </conditionalFormatting>
  <conditionalFormatting sqref="P113">
    <cfRule type="cellIs" dxfId="4407" priority="207" stopIfTrue="1" operator="equal">
      <formula>"INPUT STARTER IN COLUMN D"</formula>
    </cfRule>
  </conditionalFormatting>
  <conditionalFormatting sqref="P114">
    <cfRule type="cellIs" dxfId="4406" priority="206" stopIfTrue="1" operator="equal">
      <formula>"INPUT STARTER IN COLUMN D"</formula>
    </cfRule>
  </conditionalFormatting>
  <conditionalFormatting sqref="P115">
    <cfRule type="cellIs" dxfId="4405" priority="205" stopIfTrue="1" operator="equal">
      <formula>"INPUT STARTER IN COLUMN D"</formula>
    </cfRule>
  </conditionalFormatting>
  <conditionalFormatting sqref="P116">
    <cfRule type="cellIs" dxfId="4404" priority="204" stopIfTrue="1" operator="equal">
      <formula>"INPUT STARTER IN COLUMN D"</formula>
    </cfRule>
  </conditionalFormatting>
  <conditionalFormatting sqref="P117">
    <cfRule type="cellIs" dxfId="4403" priority="203" stopIfTrue="1" operator="equal">
      <formula>"INPUT STARTER IN COLUMN D"</formula>
    </cfRule>
  </conditionalFormatting>
  <conditionalFormatting sqref="P118">
    <cfRule type="cellIs" dxfId="4402" priority="202" stopIfTrue="1" operator="equal">
      <formula>"INPUT STARTER IN COLUMN D"</formula>
    </cfRule>
  </conditionalFormatting>
  <conditionalFormatting sqref="P119">
    <cfRule type="cellIs" dxfId="4401" priority="201" stopIfTrue="1" operator="equal">
      <formula>"INPUT STARTER IN COLUMN D"</formula>
    </cfRule>
  </conditionalFormatting>
  <conditionalFormatting sqref="P120">
    <cfRule type="cellIs" dxfId="4400" priority="200" stopIfTrue="1" operator="equal">
      <formula>"INPUT STARTER IN COLUMN D"</formula>
    </cfRule>
  </conditionalFormatting>
  <conditionalFormatting sqref="P121">
    <cfRule type="cellIs" dxfId="4399" priority="199" stopIfTrue="1" operator="equal">
      <formula>"INPUT STARTER IN COLUMN D"</formula>
    </cfRule>
  </conditionalFormatting>
  <conditionalFormatting sqref="P122">
    <cfRule type="cellIs" dxfId="4398" priority="198" stopIfTrue="1" operator="equal">
      <formula>"INPUT STARTER IN COLUMN D"</formula>
    </cfRule>
  </conditionalFormatting>
  <conditionalFormatting sqref="P123">
    <cfRule type="cellIs" dxfId="4397" priority="197" stopIfTrue="1" operator="equal">
      <formula>"INPUT STARTER IN COLUMN D"</formula>
    </cfRule>
  </conditionalFormatting>
  <conditionalFormatting sqref="P125">
    <cfRule type="cellIs" dxfId="4396" priority="196" stopIfTrue="1" operator="equal">
      <formula>"INPUT STARTER IN COLUMN D"</formula>
    </cfRule>
  </conditionalFormatting>
  <conditionalFormatting sqref="P126">
    <cfRule type="cellIs" dxfId="4395" priority="195" stopIfTrue="1" operator="equal">
      <formula>"INPUT STARTER IN COLUMN D"</formula>
    </cfRule>
  </conditionalFormatting>
  <conditionalFormatting sqref="P127">
    <cfRule type="cellIs" dxfId="4394" priority="194" stopIfTrue="1" operator="equal">
      <formula>"INPUT STARTER IN COLUMN D"</formula>
    </cfRule>
  </conditionalFormatting>
  <conditionalFormatting sqref="P128">
    <cfRule type="cellIs" dxfId="4393" priority="193" stopIfTrue="1" operator="equal">
      <formula>"INPUT STARTER IN COLUMN D"</formula>
    </cfRule>
  </conditionalFormatting>
  <conditionalFormatting sqref="P129">
    <cfRule type="cellIs" dxfId="4392" priority="192" stopIfTrue="1" operator="equal">
      <formula>"INPUT STARTER IN COLUMN D"</formula>
    </cfRule>
  </conditionalFormatting>
  <conditionalFormatting sqref="P130">
    <cfRule type="cellIs" dxfId="4391" priority="191" stopIfTrue="1" operator="equal">
      <formula>"INPUT STARTER IN COLUMN D"</formula>
    </cfRule>
  </conditionalFormatting>
  <conditionalFormatting sqref="P131">
    <cfRule type="cellIs" dxfId="4390" priority="190" stopIfTrue="1" operator="equal">
      <formula>"INPUT STARTER IN COLUMN D"</formula>
    </cfRule>
  </conditionalFormatting>
  <conditionalFormatting sqref="P132">
    <cfRule type="cellIs" dxfId="4389" priority="189" stopIfTrue="1" operator="equal">
      <formula>"INPUT STARTER IN COLUMN D"</formula>
    </cfRule>
  </conditionalFormatting>
  <conditionalFormatting sqref="P133">
    <cfRule type="cellIs" dxfId="4388" priority="188" stopIfTrue="1" operator="equal">
      <formula>"INPUT STARTER IN COLUMN D"</formula>
    </cfRule>
  </conditionalFormatting>
  <conditionalFormatting sqref="P134">
    <cfRule type="cellIs" dxfId="4387" priority="187" stopIfTrue="1" operator="equal">
      <formula>"INPUT STARTER IN COLUMN D"</formula>
    </cfRule>
  </conditionalFormatting>
  <conditionalFormatting sqref="P135">
    <cfRule type="cellIs" dxfId="4386" priority="186" stopIfTrue="1" operator="equal">
      <formula>"INPUT STARTER IN COLUMN D"</formula>
    </cfRule>
  </conditionalFormatting>
  <conditionalFormatting sqref="P136">
    <cfRule type="cellIs" dxfId="4385" priority="185" stopIfTrue="1" operator="equal">
      <formula>"INPUT STARTER IN COLUMN D"</formula>
    </cfRule>
  </conditionalFormatting>
  <conditionalFormatting sqref="P137">
    <cfRule type="cellIs" dxfId="4384" priority="184" stopIfTrue="1" operator="equal">
      <formula>"INPUT STARTER IN COLUMN D"</formula>
    </cfRule>
  </conditionalFormatting>
  <conditionalFormatting sqref="P139">
    <cfRule type="cellIs" dxfId="4383" priority="183" stopIfTrue="1" operator="equal">
      <formula>"INPUT STARTER IN COLUMN D"</formula>
    </cfRule>
  </conditionalFormatting>
  <conditionalFormatting sqref="P140">
    <cfRule type="cellIs" dxfId="4382" priority="182" stopIfTrue="1" operator="equal">
      <formula>"INPUT STARTER IN COLUMN D"</formula>
    </cfRule>
  </conditionalFormatting>
  <conditionalFormatting sqref="P141">
    <cfRule type="cellIs" dxfId="4381" priority="181" stopIfTrue="1" operator="equal">
      <formula>"INPUT STARTER IN COLUMN D"</formula>
    </cfRule>
  </conditionalFormatting>
  <conditionalFormatting sqref="P142">
    <cfRule type="cellIs" dxfId="4380" priority="180" stopIfTrue="1" operator="equal">
      <formula>"INPUT STARTER IN COLUMN D"</formula>
    </cfRule>
  </conditionalFormatting>
  <conditionalFormatting sqref="P143">
    <cfRule type="cellIs" dxfId="4379" priority="179" stopIfTrue="1" operator="equal">
      <formula>"INPUT STARTER IN COLUMN D"</formula>
    </cfRule>
  </conditionalFormatting>
  <conditionalFormatting sqref="P144">
    <cfRule type="cellIs" dxfId="4378" priority="178" stopIfTrue="1" operator="equal">
      <formula>"INPUT STARTER IN COLUMN D"</formula>
    </cfRule>
  </conditionalFormatting>
  <conditionalFormatting sqref="P145">
    <cfRule type="cellIs" dxfId="4377" priority="177" stopIfTrue="1" operator="equal">
      <formula>"INPUT STARTER IN COLUMN D"</formula>
    </cfRule>
  </conditionalFormatting>
  <conditionalFormatting sqref="P146">
    <cfRule type="cellIs" dxfId="4376" priority="176" stopIfTrue="1" operator="equal">
      <formula>"INPUT STARTER IN COLUMN D"</formula>
    </cfRule>
  </conditionalFormatting>
  <conditionalFormatting sqref="P147">
    <cfRule type="cellIs" dxfId="4375" priority="175" stopIfTrue="1" operator="equal">
      <formula>"INPUT STARTER IN COLUMN D"</formula>
    </cfRule>
  </conditionalFormatting>
  <conditionalFormatting sqref="P148">
    <cfRule type="cellIs" dxfId="4374" priority="174" stopIfTrue="1" operator="equal">
      <formula>"INPUT STARTER IN COLUMN D"</formula>
    </cfRule>
  </conditionalFormatting>
  <conditionalFormatting sqref="P149">
    <cfRule type="cellIs" dxfId="4373" priority="173" stopIfTrue="1" operator="equal">
      <formula>"INPUT STARTER IN COLUMN D"</formula>
    </cfRule>
  </conditionalFormatting>
  <conditionalFormatting sqref="P150">
    <cfRule type="cellIs" dxfId="4372" priority="172" stopIfTrue="1" operator="equal">
      <formula>"INPUT STARTER IN COLUMN D"</formula>
    </cfRule>
  </conditionalFormatting>
  <conditionalFormatting sqref="P151">
    <cfRule type="cellIs" dxfId="4371" priority="171" stopIfTrue="1" operator="equal">
      <formula>"INPUT STARTER IN COLUMN D"</formula>
    </cfRule>
  </conditionalFormatting>
  <conditionalFormatting sqref="P152">
    <cfRule type="cellIs" dxfId="4370" priority="170" stopIfTrue="1" operator="equal">
      <formula>"INPUT STARTER IN COLUMN D"</formula>
    </cfRule>
  </conditionalFormatting>
  <conditionalFormatting sqref="P153">
    <cfRule type="cellIs" dxfId="4369" priority="169" stopIfTrue="1" operator="equal">
      <formula>"INPUT STARTER IN COLUMN D"</formula>
    </cfRule>
  </conditionalFormatting>
  <conditionalFormatting sqref="P154">
    <cfRule type="cellIs" dxfId="4368" priority="168" stopIfTrue="1" operator="equal">
      <formula>"INPUT STARTER IN COLUMN D"</formula>
    </cfRule>
  </conditionalFormatting>
  <conditionalFormatting sqref="P155">
    <cfRule type="cellIs" dxfId="4367" priority="167" stopIfTrue="1" operator="equal">
      <formula>"INPUT STARTER IN COLUMN D"</formula>
    </cfRule>
  </conditionalFormatting>
  <conditionalFormatting sqref="P157">
    <cfRule type="cellIs" dxfId="4366" priority="166" stopIfTrue="1" operator="equal">
      <formula>"INPUT STARTER IN COLUMN D"</formula>
    </cfRule>
  </conditionalFormatting>
  <conditionalFormatting sqref="P158">
    <cfRule type="cellIs" dxfId="4365" priority="165" stopIfTrue="1" operator="equal">
      <formula>"INPUT STARTER IN COLUMN D"</formula>
    </cfRule>
  </conditionalFormatting>
  <conditionalFormatting sqref="P159">
    <cfRule type="cellIs" dxfId="4364" priority="164" stopIfTrue="1" operator="equal">
      <formula>"INPUT STARTER IN COLUMN D"</formula>
    </cfRule>
  </conditionalFormatting>
  <conditionalFormatting sqref="P160">
    <cfRule type="cellIs" dxfId="4363" priority="163" stopIfTrue="1" operator="equal">
      <formula>"INPUT STARTER IN COLUMN D"</formula>
    </cfRule>
  </conditionalFormatting>
  <conditionalFormatting sqref="P161">
    <cfRule type="cellIs" dxfId="4362" priority="162" stopIfTrue="1" operator="equal">
      <formula>"INPUT STARTER IN COLUMN D"</formula>
    </cfRule>
  </conditionalFormatting>
  <conditionalFormatting sqref="P162">
    <cfRule type="cellIs" dxfId="4361" priority="161" stopIfTrue="1" operator="equal">
      <formula>"INPUT STARTER IN COLUMN D"</formula>
    </cfRule>
  </conditionalFormatting>
  <conditionalFormatting sqref="P163">
    <cfRule type="cellIs" dxfId="4360" priority="160" stopIfTrue="1" operator="equal">
      <formula>"INPUT STARTER IN COLUMN D"</formula>
    </cfRule>
  </conditionalFormatting>
  <conditionalFormatting sqref="P165">
    <cfRule type="cellIs" dxfId="4359" priority="159" stopIfTrue="1" operator="equal">
      <formula>"INPUT STARTER IN COLUMN D"</formula>
    </cfRule>
  </conditionalFormatting>
  <conditionalFormatting sqref="P166">
    <cfRule type="cellIs" dxfId="4358" priority="158" stopIfTrue="1" operator="equal">
      <formula>"INPUT STARTER IN COLUMN D"</formula>
    </cfRule>
  </conditionalFormatting>
  <conditionalFormatting sqref="P167">
    <cfRule type="cellIs" dxfId="4357" priority="157" stopIfTrue="1" operator="equal">
      <formula>"INPUT STARTER IN COLUMN D"</formula>
    </cfRule>
  </conditionalFormatting>
  <conditionalFormatting sqref="P168">
    <cfRule type="cellIs" dxfId="4356" priority="156" stopIfTrue="1" operator="equal">
      <formula>"INPUT STARTER IN COLUMN D"</formula>
    </cfRule>
  </conditionalFormatting>
  <conditionalFormatting sqref="P169">
    <cfRule type="cellIs" dxfId="4355" priority="155" stopIfTrue="1" operator="equal">
      <formula>"INPUT STARTER IN COLUMN D"</formula>
    </cfRule>
  </conditionalFormatting>
  <conditionalFormatting sqref="P170">
    <cfRule type="cellIs" dxfId="4354" priority="154" stopIfTrue="1" operator="equal">
      <formula>"INPUT STARTER IN COLUMN D"</formula>
    </cfRule>
  </conditionalFormatting>
  <conditionalFormatting sqref="P171">
    <cfRule type="cellIs" dxfId="4353" priority="153" stopIfTrue="1" operator="equal">
      <formula>"INPUT STARTER IN COLUMN D"</formula>
    </cfRule>
  </conditionalFormatting>
  <conditionalFormatting sqref="P172">
    <cfRule type="cellIs" dxfId="4352" priority="152" stopIfTrue="1" operator="equal">
      <formula>"INPUT STARTER IN COLUMN D"</formula>
    </cfRule>
  </conditionalFormatting>
  <conditionalFormatting sqref="P173">
    <cfRule type="cellIs" dxfId="4351" priority="151" stopIfTrue="1" operator="equal">
      <formula>"INPUT STARTER IN COLUMN D"</formula>
    </cfRule>
  </conditionalFormatting>
  <conditionalFormatting sqref="P174">
    <cfRule type="cellIs" dxfId="4350" priority="150" stopIfTrue="1" operator="equal">
      <formula>"INPUT STARTER IN COLUMN D"</formula>
    </cfRule>
  </conditionalFormatting>
  <conditionalFormatting sqref="P176">
    <cfRule type="cellIs" dxfId="4349" priority="149" stopIfTrue="1" operator="equal">
      <formula>"INPUT STARTER IN COLUMN D"</formula>
    </cfRule>
  </conditionalFormatting>
  <conditionalFormatting sqref="P177">
    <cfRule type="cellIs" dxfId="4348" priority="148" stopIfTrue="1" operator="equal">
      <formula>"INPUT STARTER IN COLUMN D"</formula>
    </cfRule>
  </conditionalFormatting>
  <conditionalFormatting sqref="P178">
    <cfRule type="cellIs" dxfId="4347" priority="147" stopIfTrue="1" operator="equal">
      <formula>"INPUT STARTER IN COLUMN D"</formula>
    </cfRule>
  </conditionalFormatting>
  <conditionalFormatting sqref="P179">
    <cfRule type="cellIs" dxfId="4346" priority="146" stopIfTrue="1" operator="equal">
      <formula>"INPUT STARTER IN COLUMN D"</formula>
    </cfRule>
  </conditionalFormatting>
  <conditionalFormatting sqref="P180">
    <cfRule type="cellIs" dxfId="4345" priority="145" stopIfTrue="1" operator="equal">
      <formula>"INPUT STARTER IN COLUMN D"</formula>
    </cfRule>
  </conditionalFormatting>
  <conditionalFormatting sqref="P181">
    <cfRule type="cellIs" dxfId="4344" priority="144" stopIfTrue="1" operator="equal">
      <formula>"INPUT STARTER IN COLUMN D"</formula>
    </cfRule>
  </conditionalFormatting>
  <conditionalFormatting sqref="P182">
    <cfRule type="cellIs" dxfId="4343" priority="143" stopIfTrue="1" operator="equal">
      <formula>"INPUT STARTER IN COLUMN D"</formula>
    </cfRule>
  </conditionalFormatting>
  <conditionalFormatting sqref="P183">
    <cfRule type="cellIs" dxfId="4342" priority="142" stopIfTrue="1" operator="equal">
      <formula>"INPUT STARTER IN COLUMN D"</formula>
    </cfRule>
  </conditionalFormatting>
  <conditionalFormatting sqref="P184">
    <cfRule type="cellIs" dxfId="4341" priority="141" stopIfTrue="1" operator="equal">
      <formula>"INPUT STARTER IN COLUMN D"</formula>
    </cfRule>
  </conditionalFormatting>
  <conditionalFormatting sqref="P185">
    <cfRule type="cellIs" dxfId="4340" priority="140" stopIfTrue="1" operator="equal">
      <formula>"INPUT STARTER IN COLUMN D"</formula>
    </cfRule>
  </conditionalFormatting>
  <conditionalFormatting sqref="AK3:AK22">
    <cfRule type="cellIs" dxfId="4339" priority="139" stopIfTrue="1" operator="equal">
      <formula>"must average at least 5 innings per start"</formula>
    </cfRule>
  </conditionalFormatting>
  <conditionalFormatting sqref="AK23">
    <cfRule type="cellIs" dxfId="4338" priority="138" stopIfTrue="1" operator="equal">
      <formula>"must have 162 starts"</formula>
    </cfRule>
  </conditionalFormatting>
  <conditionalFormatting sqref="AH3:AH22">
    <cfRule type="cellIs" dxfId="4337" priority="137" stopIfTrue="1" operator="equal">
      <formula>"must average at least 5 innings per start"</formula>
    </cfRule>
  </conditionalFormatting>
  <conditionalFormatting sqref="AH23">
    <cfRule type="cellIs" dxfId="4336" priority="136" stopIfTrue="1" operator="equal">
      <formula>"must have 162 starts"</formula>
    </cfRule>
  </conditionalFormatting>
  <conditionalFormatting sqref="AG3:AG22">
    <cfRule type="cellIs" dxfId="4335" priority="135" stopIfTrue="1" operator="equal">
      <formula>"must average at least 5 innings per start"</formula>
    </cfRule>
  </conditionalFormatting>
  <conditionalFormatting sqref="AG23">
    <cfRule type="cellIs" dxfId="4334" priority="134" stopIfTrue="1" operator="equal">
      <formula>"must have 162 starts"</formula>
    </cfRule>
  </conditionalFormatting>
  <conditionalFormatting sqref="AK3:AK22">
    <cfRule type="cellIs" dxfId="4333" priority="133" stopIfTrue="1" operator="equal">
      <formula>"must average at least 5 innings per start"</formula>
    </cfRule>
  </conditionalFormatting>
  <conditionalFormatting sqref="AK23">
    <cfRule type="cellIs" dxfId="4332" priority="132" stopIfTrue="1" operator="equal">
      <formula>"must have 162 starts"</formula>
    </cfRule>
  </conditionalFormatting>
  <conditionalFormatting sqref="AH3:AH22">
    <cfRule type="cellIs" dxfId="4331" priority="131" stopIfTrue="1" operator="equal">
      <formula>"must average at least 5 innings per start"</formula>
    </cfRule>
  </conditionalFormatting>
  <conditionalFormatting sqref="AH23">
    <cfRule type="cellIs" dxfId="4330" priority="130" stopIfTrue="1" operator="equal">
      <formula>"must have 162 starts"</formula>
    </cfRule>
  </conditionalFormatting>
  <conditionalFormatting sqref="AG3:AG22">
    <cfRule type="cellIs" dxfId="4329" priority="129" stopIfTrue="1" operator="equal">
      <formula>"must average at least 5 innings per start"</formula>
    </cfRule>
  </conditionalFormatting>
  <conditionalFormatting sqref="AG23">
    <cfRule type="cellIs" dxfId="4328" priority="128" stopIfTrue="1" operator="equal">
      <formula>"must have 162 starts"</formula>
    </cfRule>
  </conditionalFormatting>
  <conditionalFormatting sqref="AK3:AK22">
    <cfRule type="cellIs" dxfId="4327" priority="127" stopIfTrue="1" operator="equal">
      <formula>"must average at least 5 innings per start"</formula>
    </cfRule>
  </conditionalFormatting>
  <conditionalFormatting sqref="AK23">
    <cfRule type="cellIs" dxfId="4326" priority="126" stopIfTrue="1" operator="equal">
      <formula>"must have 162 starts"</formula>
    </cfRule>
  </conditionalFormatting>
  <conditionalFormatting sqref="AH3:AH22">
    <cfRule type="cellIs" dxfId="4325" priority="125" stopIfTrue="1" operator="equal">
      <formula>"must average at least 5 innings per start"</formula>
    </cfRule>
  </conditionalFormatting>
  <conditionalFormatting sqref="AH23">
    <cfRule type="cellIs" dxfId="4324" priority="124" stopIfTrue="1" operator="equal">
      <formula>"must have 162 starts"</formula>
    </cfRule>
  </conditionalFormatting>
  <conditionalFormatting sqref="AG3:AG22">
    <cfRule type="cellIs" dxfId="4323" priority="123" stopIfTrue="1" operator="equal">
      <formula>"must average at least 5 innings per start"</formula>
    </cfRule>
  </conditionalFormatting>
  <conditionalFormatting sqref="AG23">
    <cfRule type="cellIs" dxfId="4322" priority="122" stopIfTrue="1" operator="equal">
      <formula>"must have 162 starts"</formula>
    </cfRule>
  </conditionalFormatting>
  <conditionalFormatting sqref="AK3:AK22">
    <cfRule type="cellIs" dxfId="4321" priority="121" stopIfTrue="1" operator="equal">
      <formula>"must average at least 5 innings per start"</formula>
    </cfRule>
  </conditionalFormatting>
  <conditionalFormatting sqref="AK23">
    <cfRule type="cellIs" dxfId="4320" priority="120" stopIfTrue="1" operator="equal">
      <formula>"must have 162 starts"</formula>
    </cfRule>
  </conditionalFormatting>
  <conditionalFormatting sqref="AH3:AH22">
    <cfRule type="cellIs" dxfId="4319" priority="119" stopIfTrue="1" operator="equal">
      <formula>"must average at least 5 innings per start"</formula>
    </cfRule>
  </conditionalFormatting>
  <conditionalFormatting sqref="AH23">
    <cfRule type="cellIs" dxfId="4318" priority="118" stopIfTrue="1" operator="equal">
      <formula>"must have 162 starts"</formula>
    </cfRule>
  </conditionalFormatting>
  <conditionalFormatting sqref="AG3:AG22">
    <cfRule type="cellIs" dxfId="4317" priority="117" stopIfTrue="1" operator="equal">
      <formula>"must average at least 5 innings per start"</formula>
    </cfRule>
  </conditionalFormatting>
  <conditionalFormatting sqref="AG23">
    <cfRule type="cellIs" dxfId="4316" priority="116" stopIfTrue="1" operator="equal">
      <formula>"must have 162 starts"</formula>
    </cfRule>
  </conditionalFormatting>
  <conditionalFormatting sqref="AK3:AK22">
    <cfRule type="cellIs" dxfId="4315" priority="115" stopIfTrue="1" operator="equal">
      <formula>"must average at least 5 innings per start"</formula>
    </cfRule>
  </conditionalFormatting>
  <conditionalFormatting sqref="AK23">
    <cfRule type="cellIs" dxfId="4314" priority="114" stopIfTrue="1" operator="equal">
      <formula>"must have 162 starts"</formula>
    </cfRule>
  </conditionalFormatting>
  <conditionalFormatting sqref="AH3:AH22">
    <cfRule type="cellIs" dxfId="4313" priority="113" stopIfTrue="1" operator="equal">
      <formula>"must average at least 5 innings per start"</formula>
    </cfRule>
  </conditionalFormatting>
  <conditionalFormatting sqref="AH23">
    <cfRule type="cellIs" dxfId="4312" priority="112" stopIfTrue="1" operator="equal">
      <formula>"must have 162 starts"</formula>
    </cfRule>
  </conditionalFormatting>
  <conditionalFormatting sqref="AG3:AG22">
    <cfRule type="cellIs" dxfId="4311" priority="111" stopIfTrue="1" operator="equal">
      <formula>"must average at least 5 innings per start"</formula>
    </cfRule>
  </conditionalFormatting>
  <conditionalFormatting sqref="AG23">
    <cfRule type="cellIs" dxfId="4310" priority="110" stopIfTrue="1" operator="equal">
      <formula>"must have 162 starts"</formula>
    </cfRule>
  </conditionalFormatting>
  <conditionalFormatting sqref="AK3:AK22">
    <cfRule type="cellIs" dxfId="4309" priority="109" stopIfTrue="1" operator="equal">
      <formula>"must average at least 5 innings per start"</formula>
    </cfRule>
  </conditionalFormatting>
  <conditionalFormatting sqref="AK23">
    <cfRule type="cellIs" dxfId="4308" priority="108" stopIfTrue="1" operator="equal">
      <formula>"must have 162 starts"</formula>
    </cfRule>
  </conditionalFormatting>
  <conditionalFormatting sqref="AH3:AH22">
    <cfRule type="cellIs" dxfId="4307" priority="107" stopIfTrue="1" operator="equal">
      <formula>"must average at least 5 innings per start"</formula>
    </cfRule>
  </conditionalFormatting>
  <conditionalFormatting sqref="AH23">
    <cfRule type="cellIs" dxfId="4306" priority="106" stopIfTrue="1" operator="equal">
      <formula>"must have 162 starts"</formula>
    </cfRule>
  </conditionalFormatting>
  <conditionalFormatting sqref="AG3:AG22">
    <cfRule type="cellIs" dxfId="4305" priority="105" stopIfTrue="1" operator="equal">
      <formula>"must average at least 5 innings per start"</formula>
    </cfRule>
  </conditionalFormatting>
  <conditionalFormatting sqref="AG23">
    <cfRule type="cellIs" dxfId="4304" priority="104" stopIfTrue="1" operator="equal">
      <formula>"must have 162 starts"</formula>
    </cfRule>
  </conditionalFormatting>
  <conditionalFormatting sqref="AG3:AG22">
    <cfRule type="cellIs" dxfId="4303" priority="103" stopIfTrue="1" operator="equal">
      <formula>"must average at least 5 innings per start"</formula>
    </cfRule>
  </conditionalFormatting>
  <conditionalFormatting sqref="AG23">
    <cfRule type="cellIs" dxfId="4302" priority="102" stopIfTrue="1" operator="equal">
      <formula>"must have 162 starts"</formula>
    </cfRule>
  </conditionalFormatting>
  <conditionalFormatting sqref="AK3:AK22">
    <cfRule type="cellIs" dxfId="4301" priority="101" stopIfTrue="1" operator="equal">
      <formula>"must average at least 5 innings per start"</formula>
    </cfRule>
  </conditionalFormatting>
  <conditionalFormatting sqref="AK23">
    <cfRule type="cellIs" dxfId="4300" priority="100" stopIfTrue="1" operator="equal">
      <formula>"must have 162 starts"</formula>
    </cfRule>
  </conditionalFormatting>
  <conditionalFormatting sqref="AK3:AK22">
    <cfRule type="cellIs" dxfId="4299" priority="99" stopIfTrue="1" operator="equal">
      <formula>"must average at least 5 innings per start"</formula>
    </cfRule>
  </conditionalFormatting>
  <conditionalFormatting sqref="AK23">
    <cfRule type="cellIs" dxfId="4298" priority="98" stopIfTrue="1" operator="equal">
      <formula>"must have 162 starts"</formula>
    </cfRule>
  </conditionalFormatting>
  <conditionalFormatting sqref="AK3:AK22">
    <cfRule type="cellIs" dxfId="4297" priority="97" stopIfTrue="1" operator="equal">
      <formula>"must average at least 5 innings per start"</formula>
    </cfRule>
  </conditionalFormatting>
  <conditionalFormatting sqref="AK23">
    <cfRule type="cellIs" dxfId="4296" priority="96" stopIfTrue="1" operator="equal">
      <formula>"must have 162 starts"</formula>
    </cfRule>
  </conditionalFormatting>
  <conditionalFormatting sqref="AK3:AK22">
    <cfRule type="cellIs" dxfId="4295" priority="95" stopIfTrue="1" operator="equal">
      <formula>"must average at least 5 innings per start"</formula>
    </cfRule>
  </conditionalFormatting>
  <conditionalFormatting sqref="AK23">
    <cfRule type="cellIs" dxfId="4294" priority="94" stopIfTrue="1" operator="equal">
      <formula>"must have 162 starts"</formula>
    </cfRule>
  </conditionalFormatting>
  <conditionalFormatting sqref="AK3:AK22">
    <cfRule type="cellIs" dxfId="4293" priority="93" stopIfTrue="1" operator="equal">
      <formula>"must average at least 5 innings per start"</formula>
    </cfRule>
  </conditionalFormatting>
  <conditionalFormatting sqref="AK23">
    <cfRule type="cellIs" dxfId="4292" priority="92" stopIfTrue="1" operator="equal">
      <formula>"must have 162 starts"</formula>
    </cfRule>
  </conditionalFormatting>
  <conditionalFormatting sqref="AK3:AK22">
    <cfRule type="cellIs" dxfId="4291" priority="91" stopIfTrue="1" operator="equal">
      <formula>"must average at least 5 innings per start"</formula>
    </cfRule>
  </conditionalFormatting>
  <conditionalFormatting sqref="AK23">
    <cfRule type="cellIs" dxfId="4290" priority="90" stopIfTrue="1" operator="equal">
      <formula>"must have 162 starts"</formula>
    </cfRule>
  </conditionalFormatting>
  <conditionalFormatting sqref="AK3:AK22">
    <cfRule type="cellIs" dxfId="4289" priority="89" stopIfTrue="1" operator="equal">
      <formula>"must average at least 5 innings per start"</formula>
    </cfRule>
  </conditionalFormatting>
  <conditionalFormatting sqref="AK23">
    <cfRule type="cellIs" dxfId="4288" priority="88" stopIfTrue="1" operator="equal">
      <formula>"must have 162 starts"</formula>
    </cfRule>
  </conditionalFormatting>
  <conditionalFormatting sqref="AH3:AH22">
    <cfRule type="cellIs" dxfId="4287" priority="87" stopIfTrue="1" operator="equal">
      <formula>"must average at least 5 innings per start"</formula>
    </cfRule>
  </conditionalFormatting>
  <conditionalFormatting sqref="AH23">
    <cfRule type="cellIs" dxfId="4286" priority="86" stopIfTrue="1" operator="equal">
      <formula>"must have 162 starts"</formula>
    </cfRule>
  </conditionalFormatting>
  <conditionalFormatting sqref="AG3:AG22">
    <cfRule type="cellIs" dxfId="4285" priority="85" stopIfTrue="1" operator="equal">
      <formula>"must average at least 5 innings per start"</formula>
    </cfRule>
  </conditionalFormatting>
  <conditionalFormatting sqref="AG23">
    <cfRule type="cellIs" dxfId="4284" priority="84" stopIfTrue="1" operator="equal">
      <formula>"must have 162 starts"</formula>
    </cfRule>
  </conditionalFormatting>
  <conditionalFormatting sqref="AK3:AK22">
    <cfRule type="cellIs" dxfId="4283" priority="83" stopIfTrue="1" operator="equal">
      <formula>"must average at least 5 innings per start"</formula>
    </cfRule>
  </conditionalFormatting>
  <conditionalFormatting sqref="AK23">
    <cfRule type="cellIs" dxfId="4282" priority="82" stopIfTrue="1" operator="equal">
      <formula>"must have 162 starts"</formula>
    </cfRule>
  </conditionalFormatting>
  <conditionalFormatting sqref="AK3:AK22">
    <cfRule type="cellIs" dxfId="4281" priority="81" stopIfTrue="1" operator="equal">
      <formula>"must average at least 5 innings per start"</formula>
    </cfRule>
  </conditionalFormatting>
  <conditionalFormatting sqref="AK23">
    <cfRule type="cellIs" dxfId="4280" priority="80" stopIfTrue="1" operator="equal">
      <formula>"must have 162 starts"</formula>
    </cfRule>
  </conditionalFormatting>
  <conditionalFormatting sqref="AK3:AK22">
    <cfRule type="cellIs" dxfId="4279" priority="79" stopIfTrue="1" operator="equal">
      <formula>"must average at least 5 innings per start"</formula>
    </cfRule>
  </conditionalFormatting>
  <conditionalFormatting sqref="AK23">
    <cfRule type="cellIs" dxfId="4278" priority="78" stopIfTrue="1" operator="equal">
      <formula>"must have 162 starts"</formula>
    </cfRule>
  </conditionalFormatting>
  <conditionalFormatting sqref="AK3:AK22">
    <cfRule type="cellIs" dxfId="4277" priority="77" stopIfTrue="1" operator="equal">
      <formula>"must average at least 5 innings per start"</formula>
    </cfRule>
  </conditionalFormatting>
  <conditionalFormatting sqref="AK23">
    <cfRule type="cellIs" dxfId="4276" priority="76" stopIfTrue="1" operator="equal">
      <formula>"must have 162 starts"</formula>
    </cfRule>
  </conditionalFormatting>
  <conditionalFormatting sqref="AK3:AK22">
    <cfRule type="cellIs" dxfId="4275" priority="75" stopIfTrue="1" operator="equal">
      <formula>"must average at least 5 innings per start"</formula>
    </cfRule>
  </conditionalFormatting>
  <conditionalFormatting sqref="AK23">
    <cfRule type="cellIs" dxfId="4274" priority="74" stopIfTrue="1" operator="equal">
      <formula>"must have 162 starts"</formula>
    </cfRule>
  </conditionalFormatting>
  <conditionalFormatting sqref="AK3:AK22">
    <cfRule type="cellIs" dxfId="4273" priority="73" stopIfTrue="1" operator="equal">
      <formula>"must average at least 5 innings per start"</formula>
    </cfRule>
  </conditionalFormatting>
  <conditionalFormatting sqref="AK23">
    <cfRule type="cellIs" dxfId="4272" priority="72" stopIfTrue="1" operator="equal">
      <formula>"must have 162 starts"</formula>
    </cfRule>
  </conditionalFormatting>
  <conditionalFormatting sqref="AK3:AK22">
    <cfRule type="cellIs" dxfId="4271" priority="71" stopIfTrue="1" operator="equal">
      <formula>"must average at least 5 innings per start"</formula>
    </cfRule>
  </conditionalFormatting>
  <conditionalFormatting sqref="AK23">
    <cfRule type="cellIs" dxfId="4270" priority="70" stopIfTrue="1" operator="equal">
      <formula>"must have 162 starts"</formula>
    </cfRule>
  </conditionalFormatting>
  <conditionalFormatting sqref="AK3:AK22">
    <cfRule type="cellIs" dxfId="4269" priority="69" stopIfTrue="1" operator="equal">
      <formula>"must average at least 5 innings per start"</formula>
    </cfRule>
  </conditionalFormatting>
  <conditionalFormatting sqref="AK23">
    <cfRule type="cellIs" dxfId="4268" priority="68" stopIfTrue="1" operator="equal">
      <formula>"must have 162 starts"</formula>
    </cfRule>
  </conditionalFormatting>
  <conditionalFormatting sqref="AG3:AG22">
    <cfRule type="cellIs" dxfId="4267" priority="67" stopIfTrue="1" operator="equal">
      <formula>"must average at least 5 innings per start"</formula>
    </cfRule>
  </conditionalFormatting>
  <conditionalFormatting sqref="AG23">
    <cfRule type="cellIs" dxfId="4266" priority="66" stopIfTrue="1" operator="equal">
      <formula>"must have 162 starts"</formula>
    </cfRule>
  </conditionalFormatting>
  <conditionalFormatting sqref="AK3:AK22">
    <cfRule type="cellIs" dxfId="4265" priority="65" stopIfTrue="1" operator="equal">
      <formula>"must average at least 5 innings per start"</formula>
    </cfRule>
  </conditionalFormatting>
  <conditionalFormatting sqref="AK23">
    <cfRule type="cellIs" dxfId="4264" priority="64" stopIfTrue="1" operator="equal">
      <formula>"must have 162 starts"</formula>
    </cfRule>
  </conditionalFormatting>
  <conditionalFormatting sqref="AK3:AK22">
    <cfRule type="cellIs" dxfId="4263" priority="63" stopIfTrue="1" operator="equal">
      <formula>"must average at least 5 innings per start"</formula>
    </cfRule>
  </conditionalFormatting>
  <conditionalFormatting sqref="AK23">
    <cfRule type="cellIs" dxfId="4262" priority="62" stopIfTrue="1" operator="equal">
      <formula>"must have 162 starts"</formula>
    </cfRule>
  </conditionalFormatting>
  <conditionalFormatting sqref="AK3:AK22">
    <cfRule type="cellIs" dxfId="4261" priority="61" stopIfTrue="1" operator="equal">
      <formula>"must average at least 5 innings per start"</formula>
    </cfRule>
  </conditionalFormatting>
  <conditionalFormatting sqref="AK23">
    <cfRule type="cellIs" dxfId="4260" priority="60" stopIfTrue="1" operator="equal">
      <formula>"must have 162 starts"</formula>
    </cfRule>
  </conditionalFormatting>
  <conditionalFormatting sqref="AK3:AK22">
    <cfRule type="cellIs" dxfId="4259" priority="59" stopIfTrue="1" operator="equal">
      <formula>"must average at least 5 innings per start"</formula>
    </cfRule>
  </conditionalFormatting>
  <conditionalFormatting sqref="AK23">
    <cfRule type="cellIs" dxfId="4258" priority="58" stopIfTrue="1" operator="equal">
      <formula>"must have 162 starts"</formula>
    </cfRule>
  </conditionalFormatting>
  <conditionalFormatting sqref="AK3:AK22">
    <cfRule type="cellIs" dxfId="4257" priority="57" stopIfTrue="1" operator="equal">
      <formula>"must average at least 5 innings per start"</formula>
    </cfRule>
  </conditionalFormatting>
  <conditionalFormatting sqref="AK23">
    <cfRule type="cellIs" dxfId="4256" priority="56" stopIfTrue="1" operator="equal">
      <formula>"must have 162 starts"</formula>
    </cfRule>
  </conditionalFormatting>
  <conditionalFormatting sqref="AK3:AK22">
    <cfRule type="cellIs" dxfId="4255" priority="55" stopIfTrue="1" operator="equal">
      <formula>"must average at least 5 innings per start"</formula>
    </cfRule>
  </conditionalFormatting>
  <conditionalFormatting sqref="AK23">
    <cfRule type="cellIs" dxfId="4254" priority="54" stopIfTrue="1" operator="equal">
      <formula>"must have 162 starts"</formula>
    </cfRule>
  </conditionalFormatting>
  <conditionalFormatting sqref="AK3:AK22">
    <cfRule type="cellIs" dxfId="4253" priority="53" stopIfTrue="1" operator="equal">
      <formula>"must average at least 5 innings per start"</formula>
    </cfRule>
  </conditionalFormatting>
  <conditionalFormatting sqref="AK23">
    <cfRule type="cellIs" dxfId="4252" priority="52" stopIfTrue="1" operator="equal">
      <formula>"must have 162 starts"</formula>
    </cfRule>
  </conditionalFormatting>
  <conditionalFormatting sqref="AG3:AG22">
    <cfRule type="cellIs" dxfId="4251" priority="51" stopIfTrue="1" operator="equal">
      <formula>"must average at least 5 innings per start"</formula>
    </cfRule>
  </conditionalFormatting>
  <conditionalFormatting sqref="AG23">
    <cfRule type="cellIs" dxfId="4250" priority="50" stopIfTrue="1" operator="equal">
      <formula>"must have 162 starts"</formula>
    </cfRule>
  </conditionalFormatting>
  <conditionalFormatting sqref="AK3:AK22">
    <cfRule type="cellIs" dxfId="4249" priority="49" stopIfTrue="1" operator="equal">
      <formula>"must average at least 5 innings per start"</formula>
    </cfRule>
  </conditionalFormatting>
  <conditionalFormatting sqref="AK23">
    <cfRule type="cellIs" dxfId="4248" priority="48" stopIfTrue="1" operator="equal">
      <formula>"must have 162 starts"</formula>
    </cfRule>
  </conditionalFormatting>
  <conditionalFormatting sqref="AK3:AK22">
    <cfRule type="cellIs" dxfId="4247" priority="47" stopIfTrue="1" operator="equal">
      <formula>"must average at least 5 innings per start"</formula>
    </cfRule>
  </conditionalFormatting>
  <conditionalFormatting sqref="AK23">
    <cfRule type="cellIs" dxfId="4246" priority="46" stopIfTrue="1" operator="equal">
      <formula>"must have 162 starts"</formula>
    </cfRule>
  </conditionalFormatting>
  <conditionalFormatting sqref="AK3:AK22">
    <cfRule type="cellIs" dxfId="4245" priority="45" stopIfTrue="1" operator="equal">
      <formula>"must average at least 5 innings per start"</formula>
    </cfRule>
  </conditionalFormatting>
  <conditionalFormatting sqref="AK23">
    <cfRule type="cellIs" dxfId="4244" priority="44" stopIfTrue="1" operator="equal">
      <formula>"must have 162 starts"</formula>
    </cfRule>
  </conditionalFormatting>
  <conditionalFormatting sqref="AK3:AK22">
    <cfRule type="cellIs" dxfId="4243" priority="43" stopIfTrue="1" operator="equal">
      <formula>"must average at least 5 innings per start"</formula>
    </cfRule>
  </conditionalFormatting>
  <conditionalFormatting sqref="AK23">
    <cfRule type="cellIs" dxfId="4242" priority="42" stopIfTrue="1" operator="equal">
      <formula>"must have 162 starts"</formula>
    </cfRule>
  </conditionalFormatting>
  <conditionalFormatting sqref="AK3:AK22">
    <cfRule type="cellIs" dxfId="4241" priority="41" stopIfTrue="1" operator="equal">
      <formula>"must average at least 5 innings per start"</formula>
    </cfRule>
  </conditionalFormatting>
  <conditionalFormatting sqref="AK23">
    <cfRule type="cellIs" dxfId="4240" priority="40" stopIfTrue="1" operator="equal">
      <formula>"must have 162 starts"</formula>
    </cfRule>
  </conditionalFormatting>
  <conditionalFormatting sqref="AK3:AK22">
    <cfRule type="cellIs" dxfId="4239" priority="39" stopIfTrue="1" operator="equal">
      <formula>"must average at least 5 innings per start"</formula>
    </cfRule>
  </conditionalFormatting>
  <conditionalFormatting sqref="AK23">
    <cfRule type="cellIs" dxfId="4238" priority="38" stopIfTrue="1" operator="equal">
      <formula>"must have 162 starts"</formula>
    </cfRule>
  </conditionalFormatting>
  <conditionalFormatting sqref="AG3:AG22">
    <cfRule type="cellIs" dxfId="4237" priority="37" stopIfTrue="1" operator="equal">
      <formula>"must average at least 5 innings per start"</formula>
    </cfRule>
  </conditionalFormatting>
  <conditionalFormatting sqref="AG23">
    <cfRule type="cellIs" dxfId="4236" priority="36" stopIfTrue="1" operator="equal">
      <formula>"must have 162 starts"</formula>
    </cfRule>
  </conditionalFormatting>
  <conditionalFormatting sqref="AK3:AK22">
    <cfRule type="cellIs" dxfId="4235" priority="35" stopIfTrue="1" operator="equal">
      <formula>"must average at least 5 innings per start"</formula>
    </cfRule>
  </conditionalFormatting>
  <conditionalFormatting sqref="AK23">
    <cfRule type="cellIs" dxfId="4234" priority="34" stopIfTrue="1" operator="equal">
      <formula>"must have 162 starts"</formula>
    </cfRule>
  </conditionalFormatting>
  <conditionalFormatting sqref="AK3:AK22">
    <cfRule type="cellIs" dxfId="4233" priority="33" stopIfTrue="1" operator="equal">
      <formula>"must average at least 5 innings per start"</formula>
    </cfRule>
  </conditionalFormatting>
  <conditionalFormatting sqref="AK23">
    <cfRule type="cellIs" dxfId="4232" priority="32" stopIfTrue="1" operator="equal">
      <formula>"must have 162 starts"</formula>
    </cfRule>
  </conditionalFormatting>
  <conditionalFormatting sqref="AK3:AK22">
    <cfRule type="cellIs" dxfId="4231" priority="31" stopIfTrue="1" operator="equal">
      <formula>"must average at least 5 innings per start"</formula>
    </cfRule>
  </conditionalFormatting>
  <conditionalFormatting sqref="AK23">
    <cfRule type="cellIs" dxfId="4230" priority="30" stopIfTrue="1" operator="equal">
      <formula>"must have 162 starts"</formula>
    </cfRule>
  </conditionalFormatting>
  <conditionalFormatting sqref="AK3:AK22">
    <cfRule type="cellIs" dxfId="4229" priority="29" stopIfTrue="1" operator="equal">
      <formula>"must average at least 5 innings per start"</formula>
    </cfRule>
  </conditionalFormatting>
  <conditionalFormatting sqref="AK23">
    <cfRule type="cellIs" dxfId="4228" priority="28" stopIfTrue="1" operator="equal">
      <formula>"must have 162 starts"</formula>
    </cfRule>
  </conditionalFormatting>
  <conditionalFormatting sqref="AK3:AK22">
    <cfRule type="cellIs" dxfId="4227" priority="27" stopIfTrue="1" operator="equal">
      <formula>"must average at least 5 innings per start"</formula>
    </cfRule>
  </conditionalFormatting>
  <conditionalFormatting sqref="AK23">
    <cfRule type="cellIs" dxfId="4226" priority="26" stopIfTrue="1" operator="equal">
      <formula>"must have 162 starts"</formula>
    </cfRule>
  </conditionalFormatting>
  <conditionalFormatting sqref="AG3:AG22">
    <cfRule type="cellIs" dxfId="4225" priority="25" stopIfTrue="1" operator="equal">
      <formula>"must average at least 5 innings per start"</formula>
    </cfRule>
  </conditionalFormatting>
  <conditionalFormatting sqref="AG23">
    <cfRule type="cellIs" dxfId="4224" priority="24" stopIfTrue="1" operator="equal">
      <formula>"must have 162 starts"</formula>
    </cfRule>
  </conditionalFormatting>
  <conditionalFormatting sqref="AK3:AK22">
    <cfRule type="cellIs" dxfId="4223" priority="23" stopIfTrue="1" operator="equal">
      <formula>"must average at least 5 innings per start"</formula>
    </cfRule>
  </conditionalFormatting>
  <conditionalFormatting sqref="AK23">
    <cfRule type="cellIs" dxfId="4222" priority="22" stopIfTrue="1" operator="equal">
      <formula>"must have 162 starts"</formula>
    </cfRule>
  </conditionalFormatting>
  <conditionalFormatting sqref="AK3:AK22">
    <cfRule type="cellIs" dxfId="4221" priority="21" stopIfTrue="1" operator="equal">
      <formula>"must average at least 5 innings per start"</formula>
    </cfRule>
  </conditionalFormatting>
  <conditionalFormatting sqref="AK23">
    <cfRule type="cellIs" dxfId="4220" priority="20" stopIfTrue="1" operator="equal">
      <formula>"must have 162 starts"</formula>
    </cfRule>
  </conditionalFormatting>
  <conditionalFormatting sqref="AK3:AK22">
    <cfRule type="cellIs" dxfId="4219" priority="19" stopIfTrue="1" operator="equal">
      <formula>"must average at least 5 innings per start"</formula>
    </cfRule>
  </conditionalFormatting>
  <conditionalFormatting sqref="AK23">
    <cfRule type="cellIs" dxfId="4218" priority="18" stopIfTrue="1" operator="equal">
      <formula>"must have 162 starts"</formula>
    </cfRule>
  </conditionalFormatting>
  <conditionalFormatting sqref="AK3:AK22">
    <cfRule type="cellIs" dxfId="4217" priority="17" stopIfTrue="1" operator="equal">
      <formula>"must average at least 5 innings per start"</formula>
    </cfRule>
  </conditionalFormatting>
  <conditionalFormatting sqref="AK23">
    <cfRule type="cellIs" dxfId="4216" priority="16" stopIfTrue="1" operator="equal">
      <formula>"must have 162 starts"</formula>
    </cfRule>
  </conditionalFormatting>
  <conditionalFormatting sqref="AG3:AG22">
    <cfRule type="cellIs" dxfId="4215" priority="15" stopIfTrue="1" operator="equal">
      <formula>"must average at least 5 innings per start"</formula>
    </cfRule>
  </conditionalFormatting>
  <conditionalFormatting sqref="AG23">
    <cfRule type="cellIs" dxfId="4214" priority="14" stopIfTrue="1" operator="equal">
      <formula>"must have 162 starts"</formula>
    </cfRule>
  </conditionalFormatting>
  <conditionalFormatting sqref="AK3:AK22">
    <cfRule type="cellIs" dxfId="4213" priority="13" stopIfTrue="1" operator="equal">
      <formula>"must average at least 5 innings per start"</formula>
    </cfRule>
  </conditionalFormatting>
  <conditionalFormatting sqref="AK23">
    <cfRule type="cellIs" dxfId="4212" priority="12" stopIfTrue="1" operator="equal">
      <formula>"must have 162 starts"</formula>
    </cfRule>
  </conditionalFormatting>
  <conditionalFormatting sqref="AK3:AK22">
    <cfRule type="cellIs" dxfId="4211" priority="11" stopIfTrue="1" operator="equal">
      <formula>"must average at least 5 innings per start"</formula>
    </cfRule>
  </conditionalFormatting>
  <conditionalFormatting sqref="AK23">
    <cfRule type="cellIs" dxfId="4210" priority="10" stopIfTrue="1" operator="equal">
      <formula>"must have 162 starts"</formula>
    </cfRule>
  </conditionalFormatting>
  <conditionalFormatting sqref="AK3:AK22">
    <cfRule type="cellIs" dxfId="4209" priority="9" stopIfTrue="1" operator="equal">
      <formula>"must average at least 5 innings per start"</formula>
    </cfRule>
  </conditionalFormatting>
  <conditionalFormatting sqref="AK23">
    <cfRule type="cellIs" dxfId="4208" priority="8" stopIfTrue="1" operator="equal">
      <formula>"must have 162 starts"</formula>
    </cfRule>
  </conditionalFormatting>
  <conditionalFormatting sqref="AG3:AG22">
    <cfRule type="cellIs" dxfId="4207" priority="7" stopIfTrue="1" operator="equal">
      <formula>"must average at least 5 innings per start"</formula>
    </cfRule>
  </conditionalFormatting>
  <conditionalFormatting sqref="AG23">
    <cfRule type="cellIs" dxfId="4206" priority="6" stopIfTrue="1" operator="equal">
      <formula>"must have 162 starts"</formula>
    </cfRule>
  </conditionalFormatting>
  <conditionalFormatting sqref="AK3:AK22">
    <cfRule type="cellIs" dxfId="4205" priority="5" stopIfTrue="1" operator="equal">
      <formula>"must average at least 5 innings per start"</formula>
    </cfRule>
  </conditionalFormatting>
  <conditionalFormatting sqref="AK23">
    <cfRule type="cellIs" dxfId="4204" priority="4" stopIfTrue="1" operator="equal">
      <formula>"must have 162 starts"</formula>
    </cfRule>
  </conditionalFormatting>
  <conditionalFormatting sqref="AG3:AG22">
    <cfRule type="cellIs" dxfId="4203" priority="3" stopIfTrue="1" operator="equal">
      <formula>"must average at least 5 innings per start"</formula>
    </cfRule>
  </conditionalFormatting>
  <conditionalFormatting sqref="AG23">
    <cfRule type="cellIs" dxfId="4202" priority="2" stopIfTrue="1" operator="equal">
      <formula>"must have 162 starts"</formula>
    </cfRule>
  </conditionalFormatting>
  <conditionalFormatting sqref="Q2">
    <cfRule type="cellIs" dxfId="4201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4564" divId="ROTcheck_4564" sourceType="sheet" destinationFile="C:\1kading\schedule\skedmed.html"/>
    <webPublishItem id="8854" divId="ROTcheck_8854" sourceType="range" sourceRef="A1:O193" destinationFile="C:\1kading\schedule\skedmed.html"/>
    <webPublishItem id="24141" divId="ROTcheck_24141" sourceType="range" sourceRef="A156:O185" destinationFile="C:\1kading\schedule\skedmed.html"/>
  </webPublishItems>
</worksheet>
</file>

<file path=xl/worksheets/sheet16.xml><?xml version="1.0" encoding="utf-8"?>
<worksheet xmlns="http://schemas.openxmlformats.org/spreadsheetml/2006/main" xmlns:r="http://schemas.openxmlformats.org/officeDocument/2006/relationships">
  <dimension ref="A1:AJ226"/>
  <sheetViews>
    <sheetView zoomScale="75" zoomScaleNormal="75" workbookViewId="0"/>
  </sheetViews>
  <sheetFormatPr defaultRowHeight="11.25"/>
  <cols>
    <col min="1" max="1" width="6.5703125" style="6" customWidth="1"/>
    <col min="2" max="2" width="4.140625" style="6" customWidth="1"/>
    <col min="3" max="3" width="5.85546875" style="6" customWidth="1"/>
    <col min="4" max="4" width="28.85546875" style="4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22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42578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13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 t="s">
        <v>32</v>
      </c>
      <c r="C3" s="33" t="s">
        <v>45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40" t="s">
        <v>1571</v>
      </c>
      <c r="T3" s="46" t="str">
        <f>IF(ISERROR((VLOOKUP(S3,Pitchers!$B$1:H$800,4,FALSE))),"",(VLOOKUP(S3,Pitchers!$B$1:H$800,4,FALSE)))</f>
        <v>MIN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11</v>
      </c>
      <c r="X3" s="47">
        <f>IF(ISERROR((VLOOKUP(S3,Pitchers!B$2:AA$795,11,FALSE))),"",(VLOOKUP(S3,Pitchers!B$2:AA$795,11,FALSE)))</f>
        <v>58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Y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MID</v>
      </c>
    </row>
    <row r="4" spans="1:36" ht="12.75">
      <c r="A4" s="6">
        <v>4.0199999999999996</v>
      </c>
      <c r="B4" s="33" t="s">
        <v>32</v>
      </c>
      <c r="C4" s="33" t="s">
        <v>45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40" t="s">
        <v>1542</v>
      </c>
      <c r="T4" s="46" t="str">
        <f>IF(ISERROR((VLOOKUP(S4,Pitchers!$B$1:H$800,4,FALSE))),"",(VLOOKUP(S4,Pitchers!$B$1:H$800,4,FALSE)))</f>
        <v>ARI</v>
      </c>
      <c r="U4" s="45" t="str">
        <f>IF(ISERROR((VLOOKUP(S4,Pitchers!B$2:AA$795,10,FALSE))),"",(VLOOKUP(S4,Pitchers!B$2:AA$795,10,FALSE)))</f>
        <v>L</v>
      </c>
      <c r="V4" s="41"/>
      <c r="W4" s="46">
        <f>IF(ISERROR((VLOOKUP(S4,Pitchers!B$2:AA$795,13,FALSE))),"",(VLOOKUP(S4,Pitchers!B$2:AA$795,13,FALSE)))</f>
        <v>8</v>
      </c>
      <c r="X4" s="47">
        <f>IF(ISERROR((VLOOKUP(S4,Pitchers!B$2:AA$795,11,FALSE))),"",(VLOOKUP(S4,Pitchers!B$2:AA$795,11,FALSE)))</f>
        <v>85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>Z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MID</v>
      </c>
    </row>
    <row r="5" spans="1:36" ht="12.75">
      <c r="A5" s="6">
        <v>4.03</v>
      </c>
      <c r="B5" s="33" t="s">
        <v>32</v>
      </c>
      <c r="C5" s="33" t="s">
        <v>45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40" t="s">
        <v>459</v>
      </c>
      <c r="T5" s="46" t="str">
        <f>IF(ISERROR((VLOOKUP(S5,Pitchers!$B$1:H$800,4,FALSE))),"",(VLOOKUP(S5,Pitchers!$B$1:H$800,4,FALSE)))</f>
        <v>SFG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8</v>
      </c>
      <c r="X5" s="47">
        <f>IF(ISERROR((VLOOKUP(S5,Pitchers!B$2:AA$795,11,FALSE))),"",(VLOOKUP(S5,Pitchers!B$2:AA$795,11,FALSE)))</f>
        <v>77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>W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MID</v>
      </c>
    </row>
    <row r="6" spans="1:36" ht="12.75">
      <c r="A6" s="6">
        <v>4.04</v>
      </c>
      <c r="B6" s="33" t="s">
        <v>32</v>
      </c>
      <c r="C6" s="33" t="s">
        <v>45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40" t="s">
        <v>1555</v>
      </c>
      <c r="T6" s="46" t="str">
        <f>IF(ISERROR((VLOOKUP(S6,Pitchers!$B$1:H$800,4,FALSE))),"",(VLOOKUP(S6,Pitchers!$B$1:H$800,4,FALSE)))</f>
        <v>MIL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8</v>
      </c>
      <c r="X6" s="47">
        <f>IF(ISERROR((VLOOKUP(S6,Pitchers!B$2:AA$795,11,FALSE))),"",(VLOOKUP(S6,Pitchers!B$2:AA$795,11,FALSE)))</f>
        <v>34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 xml:space="preserve"> </v>
      </c>
      <c r="AC6" s="52" t="str">
        <f>IF(ISERROR((VLOOKUP(S6,Pitchers!B$2:AA$795,17,FALSE))),"",(VLOOKUP(S6,Pitchers!B$2:AA$795,17,FALSE)))</f>
        <v>W</v>
      </c>
      <c r="AD6" s="53" t="str">
        <f>IF(ISERROR((VLOOKUP(S6,Pitchers!B$2:AA$795,18,FALSE))),"",(VLOOKUP(S6,Pitchers!B$2:AA$795,18,FALSE)))</f>
        <v>G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MID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40" t="s">
        <v>1438</v>
      </c>
      <c r="T7" s="46" t="str">
        <f>IF(ISERROR((VLOOKUP(S7,Pitchers!$B$1:H$800,4,FALSE))),"",(VLOOKUP(S7,Pitchers!$B$1:H$800,4,FALSE)))</f>
        <v>LAA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7</v>
      </c>
      <c r="X7" s="47">
        <f>IF(ISERROR((VLOOKUP(S7,Pitchers!B$2:AA$795,11,FALSE))),"",(VLOOKUP(S7,Pitchers!B$2:AA$795,11,FALSE)))</f>
        <v>37</v>
      </c>
      <c r="Y7" s="48"/>
      <c r="Z7" s="49"/>
      <c r="AA7" s="50"/>
      <c r="AB7" s="51" t="str">
        <f>IF(ISERROR((VLOOKUP(S7,Pitchers!B$2:AA$795,16,FALSE))),"",(VLOOKUP(S7,Pitchers!B$2:AA$795,16,FALSE)))</f>
        <v>X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>G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56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40" t="s">
        <v>1745</v>
      </c>
      <c r="T8" s="46" t="str">
        <f>IF(ISERROR((VLOOKUP(S8,Pitchers!$B$1:H$800,4,FALSE))),"",(VLOOKUP(S8,Pitchers!$B$1:H$800,4,FALSE)))</f>
        <v>KCR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6</v>
      </c>
      <c r="X8" s="47">
        <f>IF(ISERROR((VLOOKUP(S8,Pitchers!B$2:AA$795,11,FALSE))),"",(VLOOKUP(S8,Pitchers!B$2:AA$795,11,FALSE)))</f>
        <v>44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MID</v>
      </c>
    </row>
    <row r="9" spans="1:36" ht="12.75">
      <c r="A9" s="6">
        <v>4.07</v>
      </c>
      <c r="B9" s="33"/>
      <c r="C9" s="33" t="s">
        <v>56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40" t="s">
        <v>1880</v>
      </c>
      <c r="T9" s="46" t="str">
        <f>IF(ISERROR((VLOOKUP(S9,Pitchers!$B$1:H$800,4,FALSE))),"",(VLOOKUP(S9,Pitchers!$B$1:H$800,4,FALSE)))</f>
        <v>HOU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6</v>
      </c>
      <c r="X9" s="47">
        <f>IF(ISERROR((VLOOKUP(S9,Pitchers!B$2:AA$795,11,FALSE))),"",(VLOOKUP(S9,Pitchers!B$2:AA$795,11,FALSE)))</f>
        <v>38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X</v>
      </c>
      <c r="AC9" s="52" t="str">
        <f>IF(ISERROR((VLOOKUP(S9,Pitchers!B$2:AA$795,17,FALSE))),"",(VLOOKUP(S9,Pitchers!B$2:AA$795,17,FALSE)))</f>
        <v>W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MID</v>
      </c>
    </row>
    <row r="10" spans="1:36" ht="12.75">
      <c r="A10" s="6">
        <v>4.08</v>
      </c>
      <c r="B10" s="33"/>
      <c r="C10" s="33" t="s">
        <v>56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40" t="s">
        <v>1813</v>
      </c>
      <c r="T10" s="46" t="str">
        <f>IF(ISERROR((VLOOKUP(S10,Pitchers!$B$1:H$800,4,FALSE))),"",(VLOOKUP(S10,Pitchers!$B$1:H$800,4,FALSE)))</f>
        <v>SDP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4</v>
      </c>
      <c r="X10" s="47">
        <f>IF(ISERROR((VLOOKUP(S10,Pitchers!B$2:AA$795,11,FALSE))),"",(VLOOKUP(S10,Pitchers!B$2:AA$795,11,FALSE)))</f>
        <v>32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Y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>G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MID</v>
      </c>
    </row>
    <row r="11" spans="1:36" ht="12.75">
      <c r="A11" s="6">
        <v>4.09</v>
      </c>
      <c r="B11" s="33"/>
      <c r="C11" s="33" t="s">
        <v>56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40" t="s">
        <v>285</v>
      </c>
      <c r="T11" s="46" t="str">
        <f>IF(ISERROR((VLOOKUP(S11,Pitchers!$B$1:H$800,4,FALSE))),"",(VLOOKUP(S11,Pitchers!$B$1:H$800,4,FALSE)))</f>
        <v>SDP</v>
      </c>
      <c r="U11" s="45" t="str">
        <f>IF(ISERROR((VLOOKUP(S11,Pitchers!B$2:AA$795,10,FALSE))),"",(VLOOKUP(S11,Pitchers!B$2:AA$795,10,FALSE)))</f>
        <v>L</v>
      </c>
      <c r="V11" s="41"/>
      <c r="W11" s="46">
        <f>IF(ISERROR((VLOOKUP(S11,Pitchers!B$2:AA$795,13,FALSE))),"",(VLOOKUP(S11,Pitchers!B$2:AA$795,13,FALSE)))</f>
        <v>3</v>
      </c>
      <c r="X11" s="47">
        <f>IF(ISERROR((VLOOKUP(S11,Pitchers!B$2:AA$795,11,FALSE))),"",(VLOOKUP(S11,Pitchers!B$2:AA$795,11,FALSE)))</f>
        <v>17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>Z</v>
      </c>
      <c r="AD11" s="53" t="str">
        <f>IF(ISERROR((VLOOKUP(S11,Pitchers!B$2:AA$795,18,FALSE))),"",(VLOOKUP(S11,Pitchers!B$2:AA$795,18,FALSE)))</f>
        <v>G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MID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81" t="s">
        <v>1540</v>
      </c>
      <c r="T12" s="46" t="str">
        <f>IF(ISERROR((VLOOKUP(S12,Pitchers!$B$1:H$800,4,FALSE))),"",(VLOOKUP(S12,Pitchers!$B$1:H$800,4,FALSE)))</f>
        <v>TOR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2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>Z</v>
      </c>
      <c r="AD12" s="53" t="str">
        <f>IF(ISERROR((VLOOKUP(S12,Pitchers!B$2:AA$795,18,FALSE))),"",(VLOOKUP(S12,Pitchers!B$2:AA$795,18,FALSE)))</f>
        <v>G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44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81" t="s">
        <v>1263</v>
      </c>
      <c r="T13" s="46" t="str">
        <f>IF(ISERROR((VLOOKUP(S13,Pitchers!$B$1:H$800,4,FALSE))),"",(VLOOKUP(S13,Pitchers!$B$1:H$800,4,FALSE)))</f>
        <v>SDP</v>
      </c>
      <c r="U13" s="45" t="str">
        <f>IF(ISERROR((VLOOKUP(S13,Pitchers!B$2:AA$795,10,FALSE))),"",(VLOOKUP(S13,Pitchers!B$2:AA$795,10,FALSE)))</f>
        <v>R</v>
      </c>
      <c r="V13" s="21"/>
      <c r="W13" s="46">
        <f>IF(ISERROR((VLOOKUP(S13,Pitchers!B$2:AA$795,13,FALSE))),"",(VLOOKUP(S13,Pitchers!B$2:AA$795,13,FALSE)))</f>
        <v>2</v>
      </c>
      <c r="X13" s="47">
        <f>IF(ISERROR((VLOOKUP(S13,Pitchers!B$2:AA$795,11,FALSE))),"",(VLOOKUP(S13,Pitchers!B$2:AA$795,11,FALSE)))</f>
        <v>200</v>
      </c>
      <c r="Y13" s="22"/>
      <c r="Z13" s="22"/>
      <c r="AA13" s="22"/>
      <c r="AB13" s="51" t="str">
        <f>IF(ISERROR((VLOOKUP(S13,Pitchers!B$2:AA$795,16,FALSE))),"",(VLOOKUP(S13,Pitchers!B$2:AA$795,16,FALSE)))</f>
        <v xml:space="preserve"> </v>
      </c>
      <c r="AC13" s="52" t="str">
        <f>IF(ISERROR((VLOOKUP(S13,Pitchers!B$2:AA$795,17,FALSE))),"",(VLOOKUP(S13,Pitchers!B$2:AA$795,17,FALSE)))</f>
        <v>Z</v>
      </c>
      <c r="AD13" s="53" t="str">
        <f>IF(ISERROR((VLOOKUP(S13,Pitchers!B$2:AA$795,18,FALSE))),"",(VLOOKUP(S13,Pitchers!B$2:AA$795,18,FALSE)))</f>
        <v xml:space="preserve"> </v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MID</v>
      </c>
    </row>
    <row r="14" spans="1:36" ht="12.75">
      <c r="A14" s="6">
        <v>4.12</v>
      </c>
      <c r="B14" s="32" t="s">
        <v>32</v>
      </c>
      <c r="C14" s="33" t="s">
        <v>44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81" t="s">
        <v>1196</v>
      </c>
      <c r="T14" s="46" t="str">
        <f>IF(ISERROR((VLOOKUP(S14,Pitchers!$B$1:H$800,4,FALSE))),"",(VLOOKUP(S14,Pitchers!$B$1:H$800,4,FALSE)))</f>
        <v>DET</v>
      </c>
      <c r="U14" s="45" t="str">
        <f>IF(ISERROR((VLOOKUP(S14,Pitchers!B$2:AA$795,10,FALSE))),"",(VLOOKUP(S14,Pitchers!B$2:AA$795,10,FALSE)))</f>
        <v>R</v>
      </c>
      <c r="V14" s="21"/>
      <c r="W14" s="46">
        <f>IF(ISERROR((VLOOKUP(S14,Pitchers!B$2:AA$795,13,FALSE))),"",(VLOOKUP(S14,Pitchers!B$2:AA$795,13,FALSE)))</f>
        <v>2</v>
      </c>
      <c r="X14" s="47">
        <f>IF(ISERROR((VLOOKUP(S14,Pitchers!B$2:AA$795,11,FALSE))),"",(VLOOKUP(S14,Pitchers!B$2:AA$795,11,FALSE)))</f>
        <v>200</v>
      </c>
      <c r="Y14" s="22"/>
      <c r="Z14" s="26"/>
      <c r="AA14" s="27"/>
      <c r="AB14" s="51" t="str">
        <f>IF(ISERROR((VLOOKUP(S14,Pitchers!B$2:AA$795,16,FALSE))),"",(VLOOKUP(S14,Pitchers!B$2:AA$795,16,FALSE)))</f>
        <v xml:space="preserve"> </v>
      </c>
      <c r="AC14" s="52" t="str">
        <f>IF(ISERROR((VLOOKUP(S14,Pitchers!B$2:AA$795,17,FALSE))),"",(VLOOKUP(S14,Pitchers!B$2:AA$795,17,FALSE)))</f>
        <v xml:space="preserve"> </v>
      </c>
      <c r="AD14" s="53" t="str">
        <f>IF(ISERROR((VLOOKUP(S14,Pitchers!B$2:AA$795,18,FALSE))),"",(VLOOKUP(S14,Pitchers!B$2:AA$795,18,FALSE)))</f>
        <v>L</v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MID</v>
      </c>
    </row>
    <row r="15" spans="1:36" ht="12.75">
      <c r="A15" s="6">
        <v>4.13</v>
      </c>
      <c r="B15" s="32" t="s">
        <v>32</v>
      </c>
      <c r="C15" s="33" t="s">
        <v>44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81" t="s">
        <v>1495</v>
      </c>
      <c r="T15" s="46" t="str">
        <f>IF(ISERROR((VLOOKUP(S15,Pitchers!$B$1:H$800,4,FALSE))),"",(VLOOKUP(S15,Pitchers!$B$1:H$800,4,FALSE)))</f>
        <v>LAD</v>
      </c>
      <c r="U15" s="45" t="str">
        <f>IF(ISERROR((VLOOKUP(S15,Pitchers!B$2:AA$795,10,FALSE))),"",(VLOOKUP(S15,Pitchers!B$2:AA$795,10,FALSE)))</f>
        <v>R</v>
      </c>
      <c r="V15" s="21"/>
      <c r="W15" s="46">
        <f>IF(ISERROR((VLOOKUP(S15,Pitchers!B$2:AA$795,13,FALSE))),"",(VLOOKUP(S15,Pitchers!B$2:AA$795,13,FALSE)))</f>
        <v>1</v>
      </c>
      <c r="X15" s="47">
        <f>IF(ISERROR((VLOOKUP(S15,Pitchers!B$2:AA$795,11,FALSE))),"",(VLOOKUP(S15,Pitchers!B$2:AA$795,11,FALSE)))</f>
        <v>200</v>
      </c>
      <c r="Y15" s="22"/>
      <c r="Z15" s="26"/>
      <c r="AA15" s="27"/>
      <c r="AB15" s="51" t="str">
        <f>IF(ISERROR((VLOOKUP(S15,Pitchers!B$2:AA$795,16,FALSE))),"",(VLOOKUP(S15,Pitchers!B$2:AA$795,16,FALSE)))</f>
        <v xml:space="preserve"> </v>
      </c>
      <c r="AC15" s="52" t="str">
        <f>IF(ISERROR((VLOOKUP(S15,Pitchers!B$2:AA$795,17,FALSE))),"",(VLOOKUP(S15,Pitchers!B$2:AA$795,17,FALSE)))</f>
        <v>W</v>
      </c>
      <c r="AD15" s="53" t="str">
        <f>IF(ISERROR((VLOOKUP(S15,Pitchers!B$2:AA$795,18,FALSE))),"",(VLOOKUP(S15,Pitchers!B$2:AA$795,18,FALSE)))</f>
        <v xml:space="preserve"> </v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MID</v>
      </c>
    </row>
    <row r="16" spans="1:36" ht="12.75">
      <c r="A16" s="6">
        <v>4.1399999999999997</v>
      </c>
      <c r="B16" s="32" t="s">
        <v>32</v>
      </c>
      <c r="C16" s="33" t="s">
        <v>44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MID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51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MID</v>
      </c>
    </row>
    <row r="19" spans="1:36" ht="12.75">
      <c r="A19" s="6">
        <v>4.17</v>
      </c>
      <c r="B19" s="33"/>
      <c r="C19" s="33" t="s">
        <v>51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MID</v>
      </c>
    </row>
    <row r="20" spans="1:36" ht="12.75">
      <c r="A20" s="6">
        <v>4.18</v>
      </c>
      <c r="B20" s="33"/>
      <c r="C20" s="33" t="s">
        <v>51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MID</v>
      </c>
    </row>
    <row r="21" spans="1:36" ht="12.75">
      <c r="A21" s="6">
        <v>4.1900000000000004</v>
      </c>
      <c r="B21" s="33"/>
      <c r="C21" s="33" t="s">
        <v>51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MID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15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MID</v>
      </c>
    </row>
    <row r="24" spans="1:36" ht="12.75">
      <c r="A24" s="6">
        <v>4.22</v>
      </c>
      <c r="B24" s="33"/>
      <c r="C24" s="33" t="s">
        <v>15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MID</v>
      </c>
    </row>
    <row r="25" spans="1:36" ht="12.75">
      <c r="A25" s="6">
        <v>4.2300000000000004</v>
      </c>
      <c r="B25" s="33"/>
      <c r="C25" s="33" t="s">
        <v>15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MID</v>
      </c>
    </row>
    <row r="26" spans="1:36" ht="12.75">
      <c r="A26" s="6">
        <v>4.24</v>
      </c>
      <c r="B26" s="33"/>
      <c r="C26" s="33" t="s">
        <v>15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MID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/>
      <c r="C28" s="33" t="s">
        <v>1191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MID</v>
      </c>
    </row>
    <row r="29" spans="1:36" ht="12.75">
      <c r="A29" s="6">
        <v>4.2699999999999996</v>
      </c>
      <c r="B29" s="33"/>
      <c r="C29" s="33" t="s">
        <v>1191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MID</v>
      </c>
    </row>
    <row r="30" spans="1:36" ht="12.75">
      <c r="A30" s="6">
        <v>4.28</v>
      </c>
      <c r="B30" s="33"/>
      <c r="C30" s="33" t="s">
        <v>1191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MID</v>
      </c>
    </row>
    <row r="31" spans="1:36" ht="12.75">
      <c r="A31" s="6">
        <v>4.29</v>
      </c>
      <c r="B31" s="33"/>
      <c r="C31" s="33" t="s">
        <v>1191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MID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/>
      <c r="C33" s="33" t="s">
        <v>46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MID</v>
      </c>
    </row>
    <row r="34" spans="1:36" ht="12.75">
      <c r="A34" s="6">
        <v>5.0199999999999996</v>
      </c>
      <c r="B34" s="33"/>
      <c r="C34" s="33" t="s">
        <v>46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MID</v>
      </c>
    </row>
    <row r="35" spans="1:36" ht="12.75">
      <c r="A35" s="6">
        <v>5.03</v>
      </c>
      <c r="B35" s="33"/>
      <c r="C35" s="33" t="s">
        <v>46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MID</v>
      </c>
    </row>
    <row r="36" spans="1:36" ht="12.75">
      <c r="A36" s="6">
        <v>5.04</v>
      </c>
      <c r="B36" s="33"/>
      <c r="C36" s="33" t="s">
        <v>46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MID</v>
      </c>
    </row>
    <row r="37" spans="1:36" ht="12.75">
      <c r="A37" s="6">
        <v>5.05</v>
      </c>
      <c r="B37" s="33"/>
      <c r="C37" s="33" t="s">
        <v>12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MID</v>
      </c>
    </row>
    <row r="38" spans="1:36" ht="12.75">
      <c r="A38" s="6">
        <v>5.0599999999999996</v>
      </c>
      <c r="B38" s="33"/>
      <c r="C38" s="33" t="s">
        <v>12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MID</v>
      </c>
    </row>
    <row r="39" spans="1:36" ht="12.75">
      <c r="A39" s="6">
        <v>5.07</v>
      </c>
      <c r="B39" s="33"/>
      <c r="C39" s="33" t="s">
        <v>12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MID</v>
      </c>
    </row>
    <row r="40" spans="1:36" ht="12.75">
      <c r="A40" s="6">
        <v>5.08</v>
      </c>
      <c r="B40" s="33"/>
      <c r="C40" s="33" t="s">
        <v>12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MID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35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MID</v>
      </c>
    </row>
    <row r="43" spans="1:36" ht="12.75">
      <c r="A43" s="6">
        <v>5.1100000000000003</v>
      </c>
      <c r="B43" s="33"/>
      <c r="C43" s="33" t="s">
        <v>35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MID</v>
      </c>
    </row>
    <row r="44" spans="1:36" ht="12.75">
      <c r="A44" s="6">
        <v>5.12</v>
      </c>
      <c r="B44" s="33"/>
      <c r="C44" s="33" t="s">
        <v>35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MID</v>
      </c>
    </row>
    <row r="45" spans="1:36" ht="12.75">
      <c r="A45" s="6">
        <v>5.13</v>
      </c>
      <c r="B45" s="33"/>
      <c r="C45" s="33" t="s">
        <v>35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MID</v>
      </c>
    </row>
    <row r="46" spans="1:36" ht="12.75">
      <c r="A46" s="6">
        <v>5.14</v>
      </c>
      <c r="B46" s="33" t="s">
        <v>32</v>
      </c>
      <c r="C46" s="33" t="s">
        <v>49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MID</v>
      </c>
    </row>
    <row r="47" spans="1:36" ht="12.75">
      <c r="A47" s="6">
        <v>5.15</v>
      </c>
      <c r="B47" s="33" t="s">
        <v>32</v>
      </c>
      <c r="C47" s="33" t="s">
        <v>49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MID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49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MID</v>
      </c>
    </row>
    <row r="50" spans="1:36" ht="12.75">
      <c r="A50" s="6">
        <v>5.18</v>
      </c>
      <c r="B50" s="33" t="s">
        <v>32</v>
      </c>
      <c r="C50" s="33" t="s">
        <v>49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MID</v>
      </c>
    </row>
    <row r="51" spans="1:36" ht="12.75">
      <c r="A51" s="6">
        <v>5.19</v>
      </c>
      <c r="B51" s="32" t="s">
        <v>32</v>
      </c>
      <c r="C51" s="33" t="s">
        <v>16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MID</v>
      </c>
    </row>
    <row r="52" spans="1:36" ht="12.75">
      <c r="A52" s="6">
        <v>5.2</v>
      </c>
      <c r="B52" s="32" t="s">
        <v>32</v>
      </c>
      <c r="C52" s="33" t="s">
        <v>16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MID</v>
      </c>
    </row>
    <row r="53" spans="1:36" ht="12.75">
      <c r="A53" s="6">
        <v>5.21</v>
      </c>
      <c r="B53" s="32" t="s">
        <v>32</v>
      </c>
      <c r="C53" s="33" t="s">
        <v>16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MID</v>
      </c>
    </row>
    <row r="54" spans="1:36" ht="12.75">
      <c r="A54" s="6">
        <v>5.22</v>
      </c>
      <c r="B54" s="33" t="s">
        <v>32</v>
      </c>
      <c r="C54" s="33" t="s">
        <v>16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MID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/>
      <c r="C56" s="33" t="s">
        <v>54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MID</v>
      </c>
    </row>
    <row r="57" spans="1:36" ht="12.75">
      <c r="A57" s="6">
        <v>5.25</v>
      </c>
      <c r="B57" s="33"/>
      <c r="C57" s="33" t="s">
        <v>54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MID</v>
      </c>
    </row>
    <row r="58" spans="1:36" ht="12.75">
      <c r="A58" s="6">
        <v>5.26</v>
      </c>
      <c r="B58" s="33"/>
      <c r="C58" s="33" t="s">
        <v>54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MID</v>
      </c>
    </row>
    <row r="59" spans="1:36" ht="12.75">
      <c r="A59" s="6">
        <v>5.27</v>
      </c>
      <c r="B59" s="33"/>
      <c r="C59" s="33" t="s">
        <v>54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MID</v>
      </c>
    </row>
    <row r="60" spans="1:36" ht="12.75">
      <c r="A60" s="6">
        <v>5.28</v>
      </c>
      <c r="B60" s="33" t="s">
        <v>32</v>
      </c>
      <c r="C60" s="33" t="s">
        <v>1918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MID</v>
      </c>
    </row>
    <row r="61" spans="1:36" ht="12.75">
      <c r="A61" s="6">
        <v>5.29</v>
      </c>
      <c r="B61" s="33" t="s">
        <v>32</v>
      </c>
      <c r="C61" s="33" t="s">
        <v>1918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MID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1918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MID</v>
      </c>
    </row>
    <row r="64" spans="1:36" ht="12.75">
      <c r="A64" s="6">
        <v>6.01</v>
      </c>
      <c r="B64" s="33" t="s">
        <v>32</v>
      </c>
      <c r="C64" s="33" t="s">
        <v>1919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MID</v>
      </c>
    </row>
    <row r="65" spans="1:36" ht="12.75">
      <c r="A65" s="6">
        <v>6.02</v>
      </c>
      <c r="B65" s="33" t="s">
        <v>32</v>
      </c>
      <c r="C65" s="33" t="s">
        <v>1919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MID</v>
      </c>
    </row>
    <row r="66" spans="1:36" ht="12.75">
      <c r="A66" s="6">
        <v>6.03</v>
      </c>
      <c r="B66" s="33" t="s">
        <v>32</v>
      </c>
      <c r="C66" s="33" t="s">
        <v>1919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MID</v>
      </c>
    </row>
    <row r="67" spans="1:36" ht="12.75">
      <c r="A67" s="6">
        <v>6.04</v>
      </c>
      <c r="B67" s="33" t="s">
        <v>32</v>
      </c>
      <c r="C67" s="33" t="s">
        <v>1919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MID</v>
      </c>
    </row>
    <row r="68" spans="1:36" ht="12.75">
      <c r="A68" s="6">
        <v>6.05</v>
      </c>
      <c r="B68" s="33"/>
      <c r="C68" s="33" t="s">
        <v>43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MID</v>
      </c>
    </row>
    <row r="69" spans="1:36" ht="12.75">
      <c r="A69" s="6">
        <v>6.06</v>
      </c>
      <c r="B69" s="33"/>
      <c r="C69" s="33" t="s">
        <v>43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MID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/>
      <c r="C71" s="33" t="s">
        <v>43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MID</v>
      </c>
    </row>
    <row r="72" spans="1:36" ht="12.75">
      <c r="A72" s="6">
        <v>6.09</v>
      </c>
      <c r="B72" s="33"/>
      <c r="C72" s="33" t="s">
        <v>43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MID</v>
      </c>
    </row>
    <row r="73" spans="1:36" ht="12.75">
      <c r="A73" s="6">
        <v>6.1</v>
      </c>
      <c r="B73" s="32" t="s">
        <v>32</v>
      </c>
      <c r="C73" s="33" t="s">
        <v>52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MID</v>
      </c>
    </row>
    <row r="74" spans="1:36" ht="12.75">
      <c r="A74" s="6">
        <v>6.11</v>
      </c>
      <c r="B74" s="32" t="s">
        <v>32</v>
      </c>
      <c r="C74" s="33" t="s">
        <v>52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MID</v>
      </c>
    </row>
    <row r="75" spans="1:36" ht="12.75">
      <c r="A75" s="6">
        <v>6.12</v>
      </c>
      <c r="B75" s="32" t="s">
        <v>32</v>
      </c>
      <c r="C75" s="33" t="s">
        <v>52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MID</v>
      </c>
    </row>
    <row r="76" spans="1:36" ht="12.75">
      <c r="A76" s="6">
        <v>6.13</v>
      </c>
      <c r="B76" s="32" t="s">
        <v>32</v>
      </c>
      <c r="C76" s="33" t="s">
        <v>52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MID</v>
      </c>
    </row>
    <row r="77" spans="1:36" ht="12.75">
      <c r="A77" s="6">
        <v>6.14</v>
      </c>
      <c r="B77" s="32" t="s">
        <v>32</v>
      </c>
      <c r="C77" s="33" t="s">
        <v>34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MID</v>
      </c>
    </row>
    <row r="78" spans="1:36" ht="12.75">
      <c r="A78" s="6">
        <v>6.15</v>
      </c>
      <c r="B78" s="32" t="s">
        <v>32</v>
      </c>
      <c r="C78" s="33" t="s">
        <v>34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MID</v>
      </c>
    </row>
    <row r="79" spans="1:36" ht="12.75">
      <c r="A79" s="6">
        <v>6.16</v>
      </c>
      <c r="B79" s="32" t="s">
        <v>32</v>
      </c>
      <c r="C79" s="33" t="s">
        <v>34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MID</v>
      </c>
    </row>
    <row r="80" spans="1:36" ht="12.75">
      <c r="A80" s="6">
        <v>6.17</v>
      </c>
      <c r="B80" s="32" t="s">
        <v>32</v>
      </c>
      <c r="C80" s="33" t="s">
        <v>34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MID</v>
      </c>
    </row>
    <row r="81" spans="1:36" ht="12.75">
      <c r="A81" s="6">
        <v>6.18</v>
      </c>
      <c r="B81" s="33" t="s">
        <v>32</v>
      </c>
      <c r="C81" s="33" t="s">
        <v>53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MID</v>
      </c>
    </row>
    <row r="82" spans="1:36" ht="12.75">
      <c r="A82" s="6">
        <v>6.19</v>
      </c>
      <c r="B82" s="33" t="s">
        <v>32</v>
      </c>
      <c r="C82" s="33" t="s">
        <v>53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MID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 t="s">
        <v>32</v>
      </c>
      <c r="C84" s="33" t="s">
        <v>53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MID</v>
      </c>
    </row>
    <row r="85" spans="1:36" ht="12.75">
      <c r="A85" s="6">
        <v>6.22</v>
      </c>
      <c r="B85" s="33" t="s">
        <v>32</v>
      </c>
      <c r="C85" s="33" t="s">
        <v>53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MID</v>
      </c>
    </row>
    <row r="86" spans="1:36" ht="12.75">
      <c r="A86" s="6">
        <v>6.23</v>
      </c>
      <c r="B86" s="33"/>
      <c r="C86" s="33" t="s">
        <v>39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MID</v>
      </c>
    </row>
    <row r="87" spans="1:36" ht="12.75">
      <c r="A87" s="6">
        <v>6.24</v>
      </c>
      <c r="B87" s="33"/>
      <c r="C87" s="33" t="s">
        <v>39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MID</v>
      </c>
    </row>
    <row r="88" spans="1:36" ht="12.75">
      <c r="A88" s="6">
        <v>6.25</v>
      </c>
      <c r="B88" s="33"/>
      <c r="C88" s="33" t="s">
        <v>39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MID</v>
      </c>
    </row>
    <row r="89" spans="1:36" ht="12.75">
      <c r="A89" s="6">
        <v>6.26</v>
      </c>
      <c r="B89" s="33"/>
      <c r="C89" s="33" t="s">
        <v>39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MID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2.75">
      <c r="A91" s="6">
        <v>6.28</v>
      </c>
      <c r="B91" s="33" t="s">
        <v>32</v>
      </c>
      <c r="C91" s="33" t="s">
        <v>42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MID</v>
      </c>
    </row>
    <row r="92" spans="1:36" ht="12.75">
      <c r="A92" s="6">
        <v>6.29</v>
      </c>
      <c r="B92" s="33" t="s">
        <v>32</v>
      </c>
      <c r="C92" s="33" t="s">
        <v>42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MID</v>
      </c>
    </row>
    <row r="93" spans="1:36" ht="12.75">
      <c r="A93" s="6">
        <v>6.3</v>
      </c>
      <c r="B93" s="33" t="s">
        <v>32</v>
      </c>
      <c r="C93" s="33" t="s">
        <v>42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MID</v>
      </c>
    </row>
    <row r="94" spans="1:36" ht="12.75">
      <c r="A94" s="6">
        <v>7.01</v>
      </c>
      <c r="B94" s="33"/>
      <c r="C94" s="33" t="s">
        <v>47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MID</v>
      </c>
    </row>
    <row r="95" spans="1:36" ht="12.75">
      <c r="A95" s="6">
        <v>7.02</v>
      </c>
      <c r="B95" s="33"/>
      <c r="C95" s="33" t="s">
        <v>47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MID</v>
      </c>
    </row>
    <row r="96" spans="1:36" ht="12.75">
      <c r="A96" s="6">
        <v>7.03</v>
      </c>
      <c r="B96" s="33"/>
      <c r="C96" s="33" t="s">
        <v>47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MID</v>
      </c>
    </row>
    <row r="97" spans="1:36" ht="12.75">
      <c r="A97" s="6">
        <v>7.04</v>
      </c>
      <c r="B97" s="33"/>
      <c r="C97" s="33" t="s">
        <v>14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MID</v>
      </c>
    </row>
    <row r="98" spans="1:36" ht="12.75">
      <c r="A98" s="6">
        <v>7.05</v>
      </c>
      <c r="B98" s="33"/>
      <c r="C98" s="33" t="s">
        <v>14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MID</v>
      </c>
    </row>
    <row r="99" spans="1:36" ht="12.75">
      <c r="A99" s="6">
        <v>7.06</v>
      </c>
      <c r="B99" s="33"/>
      <c r="C99" s="33" t="s">
        <v>14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MID</v>
      </c>
    </row>
    <row r="100" spans="1:36" ht="12.75">
      <c r="A100" s="6">
        <v>7.07</v>
      </c>
      <c r="B100" s="33" t="s">
        <v>32</v>
      </c>
      <c r="C100" s="33" t="s">
        <v>48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MID</v>
      </c>
    </row>
    <row r="101" spans="1:36" ht="12.75">
      <c r="A101" s="6">
        <v>7.08</v>
      </c>
      <c r="B101" s="33" t="s">
        <v>32</v>
      </c>
      <c r="C101" s="33" t="s">
        <v>48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MID</v>
      </c>
    </row>
    <row r="102" spans="1:36" ht="12.75">
      <c r="A102" s="6">
        <v>7.09</v>
      </c>
      <c r="B102" s="33" t="s">
        <v>32</v>
      </c>
      <c r="C102" s="33" t="s">
        <v>48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MID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33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MID</v>
      </c>
    </row>
    <row r="107" spans="1:36" ht="12.75">
      <c r="A107" s="6">
        <v>7.14</v>
      </c>
      <c r="B107" s="33"/>
      <c r="C107" s="33" t="s">
        <v>33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MID</v>
      </c>
    </row>
    <row r="108" spans="1:36" ht="12.75">
      <c r="A108" s="6">
        <v>7.15</v>
      </c>
      <c r="B108" s="33"/>
      <c r="C108" s="33" t="s">
        <v>33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MID</v>
      </c>
    </row>
    <row r="109" spans="1:36" ht="12.75">
      <c r="A109" s="6">
        <v>7.16</v>
      </c>
      <c r="B109" s="33"/>
      <c r="C109" s="33" t="s">
        <v>41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MID</v>
      </c>
    </row>
    <row r="110" spans="1:36" ht="12.75">
      <c r="A110" s="6">
        <v>7.17</v>
      </c>
      <c r="B110" s="33"/>
      <c r="C110" s="33" t="s">
        <v>41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MID</v>
      </c>
    </row>
    <row r="111" spans="1:36" ht="12.75">
      <c r="A111" s="6">
        <v>7.18</v>
      </c>
      <c r="B111" s="33"/>
      <c r="C111" s="33" t="s">
        <v>41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MID</v>
      </c>
    </row>
    <row r="112" spans="1:36" ht="12.75">
      <c r="A112" s="6">
        <v>7.19</v>
      </c>
      <c r="B112" s="33" t="s">
        <v>32</v>
      </c>
      <c r="C112" s="33" t="s">
        <v>55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MID</v>
      </c>
    </row>
    <row r="113" spans="1:36" ht="12.75">
      <c r="A113" s="6">
        <v>7.2</v>
      </c>
      <c r="B113" s="33" t="s">
        <v>32</v>
      </c>
      <c r="C113" s="33" t="s">
        <v>55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MID</v>
      </c>
    </row>
    <row r="114" spans="1:36" ht="12.75">
      <c r="A114" s="6">
        <v>7.21</v>
      </c>
      <c r="B114" s="33" t="s">
        <v>32</v>
      </c>
      <c r="C114" s="33" t="s">
        <v>55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MID</v>
      </c>
    </row>
    <row r="115" spans="1:36" ht="12.75">
      <c r="A115" s="6">
        <v>7.22</v>
      </c>
      <c r="B115" s="33" t="s">
        <v>32</v>
      </c>
      <c r="C115" s="33" t="s">
        <v>55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MID</v>
      </c>
    </row>
    <row r="116" spans="1:36" ht="12.75">
      <c r="A116" s="6">
        <v>7.23</v>
      </c>
      <c r="B116" s="33" t="s">
        <v>32</v>
      </c>
      <c r="C116" s="33" t="s">
        <v>1917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MID</v>
      </c>
    </row>
    <row r="117" spans="1:36" ht="12.75">
      <c r="A117" s="6">
        <v>7.24</v>
      </c>
      <c r="B117" s="33" t="s">
        <v>32</v>
      </c>
      <c r="C117" s="33" t="s">
        <v>1917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MID</v>
      </c>
    </row>
    <row r="118" spans="1:36" ht="12.75">
      <c r="A118" s="6">
        <v>7.25</v>
      </c>
      <c r="B118" s="33" t="s">
        <v>32</v>
      </c>
      <c r="C118" s="33" t="s">
        <v>1917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MID</v>
      </c>
    </row>
    <row r="119" spans="1:36" ht="12.75">
      <c r="A119" s="6">
        <v>7.26</v>
      </c>
      <c r="B119" s="33" t="s">
        <v>32</v>
      </c>
      <c r="C119" s="33" t="s">
        <v>1917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MID</v>
      </c>
    </row>
    <row r="120" spans="1:36" ht="12.75">
      <c r="A120" s="6">
        <v>7.27</v>
      </c>
      <c r="B120" s="33"/>
      <c r="C120" s="33" t="s">
        <v>17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MID</v>
      </c>
    </row>
    <row r="121" spans="1:36" ht="12.75">
      <c r="A121" s="6">
        <v>7.28</v>
      </c>
      <c r="B121" s="33"/>
      <c r="C121" s="33" t="s">
        <v>17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MID</v>
      </c>
    </row>
    <row r="122" spans="1:36" ht="12.75">
      <c r="A122" s="6">
        <v>7.29</v>
      </c>
      <c r="B122" s="33"/>
      <c r="C122" s="33" t="s">
        <v>17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MID</v>
      </c>
    </row>
    <row r="123" spans="1:36" ht="12.75">
      <c r="A123" s="6">
        <v>7.3</v>
      </c>
      <c r="B123" s="33"/>
      <c r="C123" s="33" t="s">
        <v>17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MID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/>
      <c r="C125" s="33" t="s">
        <v>40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MID</v>
      </c>
    </row>
    <row r="126" spans="1:36" ht="12.75">
      <c r="A126" s="6">
        <v>8.02</v>
      </c>
      <c r="B126" s="33"/>
      <c r="C126" s="33" t="s">
        <v>40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MID</v>
      </c>
    </row>
    <row r="127" spans="1:36" ht="12.75">
      <c r="A127" s="6">
        <v>8.0299999999999994</v>
      </c>
      <c r="B127" s="33"/>
      <c r="C127" s="33" t="s">
        <v>40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MID</v>
      </c>
    </row>
    <row r="128" spans="1:36" ht="12.75">
      <c r="A128" s="6">
        <v>8.0399999999999991</v>
      </c>
      <c r="B128" s="33"/>
      <c r="C128" s="33" t="s">
        <v>40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MID</v>
      </c>
    </row>
    <row r="129" spans="1:36" ht="12.75">
      <c r="A129" s="6">
        <v>8.0500000000000007</v>
      </c>
      <c r="B129" s="33" t="s">
        <v>32</v>
      </c>
      <c r="C129" s="33" t="s">
        <v>47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MID</v>
      </c>
    </row>
    <row r="130" spans="1:36" ht="12.75">
      <c r="A130" s="6">
        <v>8.06</v>
      </c>
      <c r="B130" s="33" t="s">
        <v>32</v>
      </c>
      <c r="C130" s="33" t="s">
        <v>47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MID</v>
      </c>
    </row>
    <row r="131" spans="1:36" ht="12.75">
      <c r="A131" s="6">
        <v>8.07</v>
      </c>
      <c r="B131" s="33" t="s">
        <v>32</v>
      </c>
      <c r="C131" s="33" t="s">
        <v>47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MID</v>
      </c>
    </row>
    <row r="132" spans="1:36" ht="12.75">
      <c r="A132" s="6">
        <v>8.08</v>
      </c>
      <c r="B132" s="33" t="s">
        <v>32</v>
      </c>
      <c r="C132" s="33" t="s">
        <v>47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MID</v>
      </c>
    </row>
    <row r="133" spans="1:36" ht="12.75">
      <c r="A133" s="6">
        <v>8.09</v>
      </c>
      <c r="B133" s="33" t="s">
        <v>32</v>
      </c>
      <c r="C133" s="33" t="s">
        <v>41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MID</v>
      </c>
    </row>
    <row r="134" spans="1:36" ht="12.75">
      <c r="A134" s="6">
        <v>8.1</v>
      </c>
      <c r="B134" s="33" t="s">
        <v>32</v>
      </c>
      <c r="C134" s="33" t="s">
        <v>41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MID</v>
      </c>
    </row>
    <row r="135" spans="1:36" ht="12.75">
      <c r="A135" s="6">
        <v>8.11</v>
      </c>
      <c r="B135" s="33" t="s">
        <v>32</v>
      </c>
      <c r="C135" s="33" t="s">
        <v>41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MID</v>
      </c>
    </row>
    <row r="136" spans="1:36" ht="12.75">
      <c r="A136" s="6">
        <v>8.1199999999999992</v>
      </c>
      <c r="B136" s="33" t="s">
        <v>32</v>
      </c>
      <c r="C136" s="33" t="s">
        <v>41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MID</v>
      </c>
    </row>
    <row r="137" spans="1:36" ht="12.75">
      <c r="A137" s="6">
        <v>8.1300000000000008</v>
      </c>
      <c r="B137" s="33"/>
      <c r="C137" s="33" t="s">
        <v>42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MID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42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MID</v>
      </c>
    </row>
    <row r="140" spans="1:36" ht="12.75">
      <c r="A140" s="6">
        <v>8.16</v>
      </c>
      <c r="B140" s="33"/>
      <c r="C140" s="33" t="s">
        <v>42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MID</v>
      </c>
    </row>
    <row r="141" spans="1:36" ht="12.75">
      <c r="A141" s="6">
        <v>8.17</v>
      </c>
      <c r="B141" s="33"/>
      <c r="C141" s="33" t="s">
        <v>42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MID</v>
      </c>
    </row>
    <row r="142" spans="1:36" ht="12.75">
      <c r="A142" s="6">
        <v>8.18</v>
      </c>
      <c r="B142" s="33" t="s">
        <v>32</v>
      </c>
      <c r="C142" s="33" t="s">
        <v>46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MID</v>
      </c>
    </row>
    <row r="143" spans="1:36" ht="12.75">
      <c r="A143" s="6">
        <v>8.19</v>
      </c>
      <c r="B143" s="33" t="s">
        <v>32</v>
      </c>
      <c r="C143" s="33" t="s">
        <v>46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MID</v>
      </c>
    </row>
    <row r="144" spans="1:36" ht="12.75">
      <c r="A144" s="6">
        <v>8.1999999999999993</v>
      </c>
      <c r="B144" s="33" t="s">
        <v>32</v>
      </c>
      <c r="C144" s="33" t="s">
        <v>46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MID</v>
      </c>
    </row>
    <row r="145" spans="1:36" ht="12.75">
      <c r="A145" s="6">
        <v>8.2100000000000009</v>
      </c>
      <c r="B145" s="33" t="s">
        <v>32</v>
      </c>
      <c r="C145" s="33" t="s">
        <v>33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MID</v>
      </c>
    </row>
    <row r="146" spans="1:36" ht="12.75">
      <c r="A146" s="6">
        <v>8.2200000000000006</v>
      </c>
      <c r="B146" s="33" t="s">
        <v>32</v>
      </c>
      <c r="C146" s="33" t="s">
        <v>33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MID</v>
      </c>
    </row>
    <row r="147" spans="1:36" ht="12.75">
      <c r="A147" s="6">
        <v>8.23</v>
      </c>
      <c r="B147" s="33" t="s">
        <v>32</v>
      </c>
      <c r="C147" s="33" t="s">
        <v>33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MID</v>
      </c>
    </row>
    <row r="148" spans="1:36" ht="12.75">
      <c r="A148" s="6">
        <v>8.24</v>
      </c>
      <c r="B148" s="33" t="s">
        <v>32</v>
      </c>
      <c r="C148" s="33" t="s">
        <v>33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MID</v>
      </c>
    </row>
    <row r="149" spans="1:36" ht="12.75">
      <c r="A149" s="6">
        <v>8.25</v>
      </c>
      <c r="B149" s="33" t="s">
        <v>32</v>
      </c>
      <c r="C149" s="33" t="s">
        <v>14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MID</v>
      </c>
    </row>
    <row r="150" spans="1:36" ht="12.75">
      <c r="A150" s="6">
        <v>8.26</v>
      </c>
      <c r="B150" s="33" t="s">
        <v>32</v>
      </c>
      <c r="C150" s="33" t="s">
        <v>14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MID</v>
      </c>
    </row>
    <row r="151" spans="1:36" ht="12.75">
      <c r="A151" s="6">
        <v>8.27</v>
      </c>
      <c r="B151" s="33" t="s">
        <v>32</v>
      </c>
      <c r="C151" s="33" t="s">
        <v>14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MID</v>
      </c>
    </row>
    <row r="152" spans="1:36" ht="12.75">
      <c r="A152" s="6">
        <v>8.2799999999999994</v>
      </c>
      <c r="B152" s="33" t="s">
        <v>32</v>
      </c>
      <c r="C152" s="33" t="s">
        <v>14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MID</v>
      </c>
    </row>
    <row r="153" spans="1:36" ht="12.75">
      <c r="A153" s="6">
        <v>8.2899999999999991</v>
      </c>
      <c r="B153" s="33" t="s">
        <v>32</v>
      </c>
      <c r="C153" s="33" t="s">
        <v>12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MID</v>
      </c>
    </row>
    <row r="154" spans="1:36" ht="12.75">
      <c r="A154" s="6">
        <v>8.3000000000000007</v>
      </c>
      <c r="B154" s="33" t="s">
        <v>32</v>
      </c>
      <c r="C154" s="33" t="s">
        <v>12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MID</v>
      </c>
    </row>
    <row r="155" spans="1:36" ht="12.75">
      <c r="A155" s="6">
        <v>8.31</v>
      </c>
      <c r="B155" s="33" t="s">
        <v>32</v>
      </c>
      <c r="C155" s="33" t="s">
        <v>12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MID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/>
      <c r="C157" s="33" t="s">
        <v>16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MID</v>
      </c>
    </row>
    <row r="158" spans="1:36" ht="12.75">
      <c r="A158" s="6">
        <v>9.0299999999999994</v>
      </c>
      <c r="B158" s="33"/>
      <c r="C158" s="33" t="s">
        <v>16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MID</v>
      </c>
    </row>
    <row r="159" spans="1:36" ht="12.75">
      <c r="A159" s="6">
        <v>9.0399999999999991</v>
      </c>
      <c r="B159" s="33"/>
      <c r="C159" s="33" t="s">
        <v>16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MID</v>
      </c>
    </row>
    <row r="160" spans="1:36" ht="12.75">
      <c r="A160" s="6">
        <v>9.0500000000000007</v>
      </c>
      <c r="B160" s="33" t="s">
        <v>32</v>
      </c>
      <c r="C160" s="33" t="s">
        <v>43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MID</v>
      </c>
    </row>
    <row r="161" spans="1:36" ht="12.75">
      <c r="A161" s="6">
        <v>9.06</v>
      </c>
      <c r="B161" s="33" t="s">
        <v>32</v>
      </c>
      <c r="C161" s="33" t="s">
        <v>43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MID</v>
      </c>
    </row>
    <row r="162" spans="1:36" ht="12.75">
      <c r="A162" s="6">
        <v>9.07</v>
      </c>
      <c r="B162" s="33" t="s">
        <v>32</v>
      </c>
      <c r="C162" s="33" t="s">
        <v>43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MID</v>
      </c>
    </row>
    <row r="163" spans="1:36" ht="12.75">
      <c r="A163" s="6">
        <v>9.08</v>
      </c>
      <c r="B163" s="33"/>
      <c r="C163" s="33" t="s">
        <v>49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MID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49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MID</v>
      </c>
    </row>
    <row r="166" spans="1:36" ht="12.75">
      <c r="A166" s="6">
        <v>9.11</v>
      </c>
      <c r="B166" s="33"/>
      <c r="C166" s="33" t="s">
        <v>49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MID</v>
      </c>
    </row>
    <row r="167" spans="1:36" ht="12.75">
      <c r="A167" s="6">
        <v>9.1199999999999992</v>
      </c>
      <c r="B167" s="33"/>
      <c r="C167" s="33" t="s">
        <v>1918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MID</v>
      </c>
    </row>
    <row r="168" spans="1:36" ht="12.75">
      <c r="A168" s="6">
        <v>9.1300000000000008</v>
      </c>
      <c r="B168" s="33"/>
      <c r="C168" s="33" t="s">
        <v>1918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MID</v>
      </c>
    </row>
    <row r="169" spans="1:36" ht="12.75">
      <c r="A169" s="6">
        <v>9.14</v>
      </c>
      <c r="B169" s="33"/>
      <c r="C169" s="33" t="s">
        <v>1918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MID</v>
      </c>
    </row>
    <row r="170" spans="1:36" ht="12.75">
      <c r="A170" s="6">
        <v>9.15</v>
      </c>
      <c r="B170" s="33"/>
      <c r="C170" s="33" t="s">
        <v>1918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MID</v>
      </c>
    </row>
    <row r="171" spans="1:36" ht="12.75">
      <c r="A171" s="6">
        <v>9.16</v>
      </c>
      <c r="B171" s="33" t="s">
        <v>32</v>
      </c>
      <c r="C171" s="33" t="s">
        <v>40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MID</v>
      </c>
    </row>
    <row r="172" spans="1:36" ht="12.75">
      <c r="A172" s="6">
        <v>9.17</v>
      </c>
      <c r="B172" s="33" t="s">
        <v>32</v>
      </c>
      <c r="C172" s="33" t="s">
        <v>40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MID</v>
      </c>
    </row>
    <row r="173" spans="1:36" ht="12.75">
      <c r="A173" s="6">
        <v>9.18</v>
      </c>
      <c r="B173" s="33" t="s">
        <v>32</v>
      </c>
      <c r="C173" s="33" t="s">
        <v>40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MID</v>
      </c>
    </row>
    <row r="174" spans="1:36" ht="12.75">
      <c r="A174" s="6">
        <v>9.19</v>
      </c>
      <c r="B174" s="33"/>
      <c r="C174" s="33" t="s">
        <v>48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MID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48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MID</v>
      </c>
    </row>
    <row r="177" spans="1:36" ht="12.75">
      <c r="A177" s="6">
        <v>9.2200000000000006</v>
      </c>
      <c r="B177" s="33"/>
      <c r="C177" s="33" t="s">
        <v>48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MID</v>
      </c>
    </row>
    <row r="178" spans="1:36" ht="12.75">
      <c r="A178" s="6">
        <v>9.23</v>
      </c>
      <c r="B178" s="33"/>
      <c r="C178" s="33" t="s">
        <v>48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MID</v>
      </c>
    </row>
    <row r="179" spans="1:36" ht="12.75">
      <c r="A179" s="6">
        <v>9.24</v>
      </c>
      <c r="B179" s="33"/>
      <c r="C179" s="33" t="s">
        <v>45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MID</v>
      </c>
    </row>
    <row r="180" spans="1:36" ht="12.75">
      <c r="A180" s="6">
        <v>9.25</v>
      </c>
      <c r="B180" s="33"/>
      <c r="C180" s="33" t="s">
        <v>45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MID</v>
      </c>
    </row>
    <row r="181" spans="1:36" ht="12.75">
      <c r="A181" s="6">
        <v>9.26</v>
      </c>
      <c r="B181" s="33"/>
      <c r="C181" s="33" t="s">
        <v>45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MID</v>
      </c>
    </row>
    <row r="182" spans="1:36" ht="12.75">
      <c r="A182" s="6">
        <v>9.27</v>
      </c>
      <c r="B182" s="33" t="s">
        <v>32</v>
      </c>
      <c r="C182" s="33" t="s">
        <v>39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MID</v>
      </c>
    </row>
    <row r="183" spans="1:36" ht="12.75">
      <c r="A183" s="6">
        <v>9.2799999999999994</v>
      </c>
      <c r="B183" s="33" t="s">
        <v>32</v>
      </c>
      <c r="C183" s="33" t="s">
        <v>39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MID</v>
      </c>
    </row>
    <row r="184" spans="1:36" ht="12.75">
      <c r="A184" s="6">
        <v>9.2899999999999991</v>
      </c>
      <c r="B184" s="33" t="s">
        <v>32</v>
      </c>
      <c r="C184" s="33" t="s">
        <v>39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MID</v>
      </c>
    </row>
    <row r="185" spans="1:36" ht="12.75">
      <c r="A185" s="6">
        <v>9.3000000000000007</v>
      </c>
      <c r="B185" s="33" t="s">
        <v>32</v>
      </c>
      <c r="C185" s="33" t="s">
        <v>39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MID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K197" s="2"/>
      <c r="AJ197" s="2"/>
    </row>
    <row r="198" spans="3:36">
      <c r="C198" s="2"/>
      <c r="K198" s="2"/>
      <c r="AJ198" s="2"/>
    </row>
    <row r="199" spans="3:36">
      <c r="C199" s="2"/>
      <c r="K199" s="2"/>
      <c r="AJ199" s="2"/>
    </row>
    <row r="200" spans="3:36">
      <c r="C200" s="2"/>
      <c r="K200" s="2"/>
      <c r="AJ200" s="2"/>
    </row>
    <row r="201" spans="3:36">
      <c r="C201" s="2"/>
      <c r="K201" s="2"/>
      <c r="AJ201" s="2"/>
    </row>
    <row r="202" spans="3:36">
      <c r="C202" s="2"/>
      <c r="K202" s="2"/>
      <c r="AJ202" s="2"/>
    </row>
    <row r="203" spans="3:36">
      <c r="C203" s="2"/>
      <c r="K203" s="2"/>
      <c r="AJ203" s="2"/>
    </row>
    <row r="204" spans="3:36">
      <c r="C204" s="2"/>
      <c r="AJ204" s="2"/>
    </row>
    <row r="205" spans="3:36">
      <c r="C205" s="2"/>
      <c r="AJ205" s="2"/>
    </row>
    <row r="206" spans="3:36">
      <c r="C206" s="2"/>
      <c r="AJ206" s="2"/>
    </row>
    <row r="207" spans="3:36">
      <c r="C207" s="2"/>
      <c r="AJ207" s="2"/>
    </row>
    <row r="208" spans="3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  <row r="218" spans="3:36">
      <c r="C218" s="2"/>
    </row>
    <row r="219" spans="3:36">
      <c r="C219" s="2"/>
    </row>
    <row r="220" spans="3:36">
      <c r="C220" s="2"/>
    </row>
    <row r="221" spans="3:36">
      <c r="C221" s="2"/>
    </row>
    <row r="222" spans="3:36">
      <c r="C222" s="2"/>
    </row>
    <row r="223" spans="3:36">
      <c r="C223" s="2"/>
    </row>
    <row r="224" spans="3:36">
      <c r="C224" s="2"/>
    </row>
    <row r="225" spans="3:3">
      <c r="C225" s="2"/>
    </row>
    <row r="226" spans="3:3">
      <c r="C226" s="2"/>
    </row>
  </sheetData>
  <phoneticPr fontId="0" type="noConversion"/>
  <conditionalFormatting sqref="AK3:AK22">
    <cfRule type="cellIs" dxfId="4200" priority="763" stopIfTrue="1" operator="equal">
      <formula>"must average at least 5 innings per start"</formula>
    </cfRule>
  </conditionalFormatting>
  <conditionalFormatting sqref="AK23">
    <cfRule type="cellIs" dxfId="4199" priority="764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98" priority="765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4197" priority="766" stopIfTrue="1" operator="equal">
      <formula>"input a different starter in column C"</formula>
    </cfRule>
  </conditionalFormatting>
  <conditionalFormatting sqref="AH3:AH22">
    <cfRule type="cellIs" dxfId="4196" priority="326" stopIfTrue="1" operator="equal">
      <formula>"must average at least 5 innings per start"</formula>
    </cfRule>
  </conditionalFormatting>
  <conditionalFormatting sqref="AH23">
    <cfRule type="cellIs" dxfId="4195" priority="325" stopIfTrue="1" operator="equal">
      <formula>"must have 162 starts"</formula>
    </cfRule>
  </conditionalFormatting>
  <conditionalFormatting sqref="AG3:AG22">
    <cfRule type="cellIs" dxfId="4194" priority="324" stopIfTrue="1" operator="equal">
      <formula>"must average at least 5 innings per start"</formula>
    </cfRule>
  </conditionalFormatting>
  <conditionalFormatting sqref="AG23">
    <cfRule type="cellIs" dxfId="4193" priority="323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92" priority="32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91" priority="32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90" priority="32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9" priority="31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8" priority="31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7" priority="31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6" priority="31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5" priority="31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4" priority="31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3" priority="31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2" priority="31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1" priority="31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80" priority="31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79" priority="30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4178" priority="308" stopIfTrue="1" operator="equal">
      <formula>"input starter in column C"</formula>
    </cfRule>
  </conditionalFormatting>
  <conditionalFormatting sqref="P3">
    <cfRule type="cellIs" dxfId="4177" priority="307" stopIfTrue="1" operator="equal">
      <formula>"input starter in column D"</formula>
    </cfRule>
  </conditionalFormatting>
  <conditionalFormatting sqref="P4">
    <cfRule type="cellIs" dxfId="4176" priority="306" stopIfTrue="1" operator="equal">
      <formula>"input starter in column D"</formula>
    </cfRule>
  </conditionalFormatting>
  <conditionalFormatting sqref="P5">
    <cfRule type="cellIs" dxfId="4175" priority="305" stopIfTrue="1" operator="equal">
      <formula>"INPUT STARTER IN COLUMN D"</formula>
    </cfRule>
  </conditionalFormatting>
  <conditionalFormatting sqref="P6">
    <cfRule type="cellIs" dxfId="4174" priority="304" stopIfTrue="1" operator="equal">
      <formula>"INPUT STARTER IN COLUMN D"</formula>
    </cfRule>
  </conditionalFormatting>
  <conditionalFormatting sqref="P8">
    <cfRule type="cellIs" dxfId="4173" priority="303" stopIfTrue="1" operator="equal">
      <formula>"INPUT STARTER IN COLUMN D"</formula>
    </cfRule>
  </conditionalFormatting>
  <conditionalFormatting sqref="P9">
    <cfRule type="cellIs" dxfId="4172" priority="302" stopIfTrue="1" operator="equal">
      <formula>"INPUT STARTER IN COLUMN D"</formula>
    </cfRule>
  </conditionalFormatting>
  <conditionalFormatting sqref="P10">
    <cfRule type="cellIs" dxfId="4171" priority="301" stopIfTrue="1" operator="equal">
      <formula>"INPUT STARTER IN COLUMN D"</formula>
    </cfRule>
  </conditionalFormatting>
  <conditionalFormatting sqref="P11">
    <cfRule type="cellIs" dxfId="4170" priority="300" stopIfTrue="1" operator="equal">
      <formula>"INPUT STARTER IN COLUMN D"</formula>
    </cfRule>
  </conditionalFormatting>
  <conditionalFormatting sqref="P13">
    <cfRule type="cellIs" dxfId="4169" priority="299" stopIfTrue="1" operator="equal">
      <formula>"INPUT STARTER IN COLUMN D"</formula>
    </cfRule>
  </conditionalFormatting>
  <conditionalFormatting sqref="P14">
    <cfRule type="cellIs" dxfId="4168" priority="298" stopIfTrue="1" operator="equal">
      <formula>"INPUT STARTER IN COLUMN D"</formula>
    </cfRule>
  </conditionalFormatting>
  <conditionalFormatting sqref="P15">
    <cfRule type="cellIs" dxfId="4167" priority="297" stopIfTrue="1" operator="equal">
      <formula>"INPUT STARTER IN COLUMN D"</formula>
    </cfRule>
  </conditionalFormatting>
  <conditionalFormatting sqref="P16">
    <cfRule type="cellIs" dxfId="4166" priority="296" stopIfTrue="1" operator="equal">
      <formula>"INPUT STARTER IN COLUMN D"</formula>
    </cfRule>
  </conditionalFormatting>
  <conditionalFormatting sqref="P18">
    <cfRule type="cellIs" dxfId="4165" priority="295" stopIfTrue="1" operator="equal">
      <formula>"INPUT STARTER IN COLUMN D"</formula>
    </cfRule>
  </conditionalFormatting>
  <conditionalFormatting sqref="P19">
    <cfRule type="cellIs" dxfId="4164" priority="294" stopIfTrue="1" operator="equal">
      <formula>"INPUT STARTER IN COLUMN D"</formula>
    </cfRule>
  </conditionalFormatting>
  <conditionalFormatting sqref="P20">
    <cfRule type="cellIs" dxfId="4163" priority="293" stopIfTrue="1" operator="equal">
      <formula>"INPUT STARTER IN COLUMN D"</formula>
    </cfRule>
  </conditionalFormatting>
  <conditionalFormatting sqref="P21">
    <cfRule type="cellIs" dxfId="4162" priority="292" stopIfTrue="1" operator="equal">
      <formula>"INPUT STARTER IN COLUMN D"</formula>
    </cfRule>
  </conditionalFormatting>
  <conditionalFormatting sqref="P23">
    <cfRule type="cellIs" dxfId="4161" priority="291" stopIfTrue="1" operator="equal">
      <formula>"INPUT STARTER IN COLUMN D"</formula>
    </cfRule>
  </conditionalFormatting>
  <conditionalFormatting sqref="P24">
    <cfRule type="cellIs" dxfId="4160" priority="290" stopIfTrue="1" operator="equal">
      <formula>"INPUT STARTER IN COLUMN D"</formula>
    </cfRule>
  </conditionalFormatting>
  <conditionalFormatting sqref="P25">
    <cfRule type="cellIs" dxfId="4159" priority="289" stopIfTrue="1" operator="equal">
      <formula>"INPUT STARTER IN COLUMN D"</formula>
    </cfRule>
  </conditionalFormatting>
  <conditionalFormatting sqref="P26">
    <cfRule type="cellIs" dxfId="4158" priority="288" stopIfTrue="1" operator="equal">
      <formula>"INPUT STARTER IN COLUMN D"</formula>
    </cfRule>
  </conditionalFormatting>
  <conditionalFormatting sqref="P28">
    <cfRule type="cellIs" dxfId="4157" priority="287" stopIfTrue="1" operator="equal">
      <formula>"INPUT STARTER IN COLUMN D"</formula>
    </cfRule>
  </conditionalFormatting>
  <conditionalFormatting sqref="P29">
    <cfRule type="cellIs" dxfId="4156" priority="286" stopIfTrue="1" operator="equal">
      <formula>"INPUT STARTER IN COLUMN D"</formula>
    </cfRule>
  </conditionalFormatting>
  <conditionalFormatting sqref="P30">
    <cfRule type="cellIs" dxfId="4155" priority="285" stopIfTrue="1" operator="equal">
      <formula>"INPUT STARTER IN COLUMN D"</formula>
    </cfRule>
  </conditionalFormatting>
  <conditionalFormatting sqref="P31">
    <cfRule type="cellIs" dxfId="4154" priority="284" stopIfTrue="1" operator="equal">
      <formula>"INPUT STARTER IN COLUMN D"</formula>
    </cfRule>
  </conditionalFormatting>
  <conditionalFormatting sqref="P33">
    <cfRule type="cellIs" dxfId="4153" priority="283" stopIfTrue="1" operator="equal">
      <formula>"INPUT STARTER IN COLUMN D"</formula>
    </cfRule>
  </conditionalFormatting>
  <conditionalFormatting sqref="P34">
    <cfRule type="cellIs" dxfId="4152" priority="282" stopIfTrue="1" operator="equal">
      <formula>"INPUT STARTER IN COLUMN D"</formula>
    </cfRule>
  </conditionalFormatting>
  <conditionalFormatting sqref="P35">
    <cfRule type="cellIs" dxfId="4151" priority="281" stopIfTrue="1" operator="equal">
      <formula>"INPUT STARTER IN COLUMN D"</formula>
    </cfRule>
  </conditionalFormatting>
  <conditionalFormatting sqref="P36">
    <cfRule type="cellIs" dxfId="4150" priority="280" stopIfTrue="1" operator="equal">
      <formula>"INPUT STARTER IN COLUMN D"</formula>
    </cfRule>
  </conditionalFormatting>
  <conditionalFormatting sqref="P37">
    <cfRule type="cellIs" dxfId="4149" priority="279" stopIfTrue="1" operator="equal">
      <formula>"INPUT STARTER IN COLUMN D"</formula>
    </cfRule>
  </conditionalFormatting>
  <conditionalFormatting sqref="P38">
    <cfRule type="cellIs" dxfId="4148" priority="278" stopIfTrue="1" operator="equal">
      <formula>"INPUT STARTER IN COLUMN D"</formula>
    </cfRule>
  </conditionalFormatting>
  <conditionalFormatting sqref="P39">
    <cfRule type="cellIs" dxfId="4147" priority="277" stopIfTrue="1" operator="equal">
      <formula>"INPUT STARTER IN COLUMN D"</formula>
    </cfRule>
  </conditionalFormatting>
  <conditionalFormatting sqref="P40">
    <cfRule type="cellIs" dxfId="4146" priority="276" stopIfTrue="1" operator="equal">
      <formula>"INPUT STARTER IN COLUMN D"</formula>
    </cfRule>
  </conditionalFormatting>
  <conditionalFormatting sqref="P42">
    <cfRule type="cellIs" dxfId="4145" priority="275" stopIfTrue="1" operator="equal">
      <formula>"INPUT STARTER IN COLUMN D"</formula>
    </cfRule>
  </conditionalFormatting>
  <conditionalFormatting sqref="P43">
    <cfRule type="cellIs" dxfId="4144" priority="274" stopIfTrue="1" operator="equal">
      <formula>"INPUT STARTER IN COLUMN D"</formula>
    </cfRule>
  </conditionalFormatting>
  <conditionalFormatting sqref="P44">
    <cfRule type="cellIs" dxfId="4143" priority="273" stopIfTrue="1" operator="equal">
      <formula>"INPUT STARTER IN COLUMN D"</formula>
    </cfRule>
  </conditionalFormatting>
  <conditionalFormatting sqref="P45">
    <cfRule type="cellIs" dxfId="4142" priority="272" stopIfTrue="1" operator="equal">
      <formula>"INPUT STARTER IN COLUMN D"</formula>
    </cfRule>
  </conditionalFormatting>
  <conditionalFormatting sqref="P46">
    <cfRule type="cellIs" dxfId="4141" priority="271" stopIfTrue="1" operator="equal">
      <formula>"INPUT STARTER IN COLUMN D"</formula>
    </cfRule>
  </conditionalFormatting>
  <conditionalFormatting sqref="P47">
    <cfRule type="cellIs" dxfId="4140" priority="270" stopIfTrue="1" operator="equal">
      <formula>"INPUT STARTER IN COLUMN D"</formula>
    </cfRule>
  </conditionalFormatting>
  <conditionalFormatting sqref="P49">
    <cfRule type="cellIs" dxfId="4139" priority="269" stopIfTrue="1" operator="equal">
      <formula>"INPUT STARTER IN COLUMN D"</formula>
    </cfRule>
  </conditionalFormatting>
  <conditionalFormatting sqref="P50">
    <cfRule type="cellIs" dxfId="4138" priority="268" stopIfTrue="1" operator="equal">
      <formula>"INPUT STARTER IN COLUMN D"</formula>
    </cfRule>
  </conditionalFormatting>
  <conditionalFormatting sqref="P51">
    <cfRule type="cellIs" dxfId="4137" priority="267" stopIfTrue="1" operator="equal">
      <formula>"INPUT STARTER IN COLUMN D"</formula>
    </cfRule>
  </conditionalFormatting>
  <conditionalFormatting sqref="P52">
    <cfRule type="cellIs" dxfId="4136" priority="266" stopIfTrue="1" operator="equal">
      <formula>"INPUT STARTER IN COLUMN D"</formula>
    </cfRule>
  </conditionalFormatting>
  <conditionalFormatting sqref="P53">
    <cfRule type="cellIs" dxfId="4135" priority="265" stopIfTrue="1" operator="equal">
      <formula>"INPUT STARTER IN COLUMN D"</formula>
    </cfRule>
  </conditionalFormatting>
  <conditionalFormatting sqref="P54">
    <cfRule type="cellIs" dxfId="4134" priority="264" stopIfTrue="1" operator="equal">
      <formula>"INPUT STARTER IN COLUMN D"</formula>
    </cfRule>
  </conditionalFormatting>
  <conditionalFormatting sqref="P56">
    <cfRule type="cellIs" dxfId="4133" priority="263" stopIfTrue="1" operator="equal">
      <formula>"INPUT STARTER IN COLUMN D"</formula>
    </cfRule>
  </conditionalFormatting>
  <conditionalFormatting sqref="P57">
    <cfRule type="cellIs" dxfId="4132" priority="262" stopIfTrue="1" operator="equal">
      <formula>"INPUT STARTER IN COLUMN D"</formula>
    </cfRule>
  </conditionalFormatting>
  <conditionalFormatting sqref="P58">
    <cfRule type="cellIs" dxfId="4131" priority="261" stopIfTrue="1" operator="equal">
      <formula>"INPUT STARTER IN COLUMN D"</formula>
    </cfRule>
  </conditionalFormatting>
  <conditionalFormatting sqref="P59">
    <cfRule type="cellIs" dxfId="4130" priority="260" stopIfTrue="1" operator="equal">
      <formula>"INPUT STARTER IN COLUMN D"</formula>
    </cfRule>
  </conditionalFormatting>
  <conditionalFormatting sqref="P60">
    <cfRule type="cellIs" dxfId="4129" priority="259" stopIfTrue="1" operator="equal">
      <formula>"INPUT STARTER IN COLUMN D"</formula>
    </cfRule>
  </conditionalFormatting>
  <conditionalFormatting sqref="P61">
    <cfRule type="cellIs" dxfId="4128" priority="258" stopIfTrue="1" operator="equal">
      <formula>"INPUT STARTER IN COLUMN D"</formula>
    </cfRule>
  </conditionalFormatting>
  <conditionalFormatting sqref="P63">
    <cfRule type="cellIs" dxfId="4127" priority="257" stopIfTrue="1" operator="equal">
      <formula>"INPUT STARTER IN COLUMN D"</formula>
    </cfRule>
  </conditionalFormatting>
  <conditionalFormatting sqref="P64">
    <cfRule type="cellIs" dxfId="4126" priority="256" stopIfTrue="1" operator="equal">
      <formula>"INPUT STARTER IN COLUMN D"</formula>
    </cfRule>
  </conditionalFormatting>
  <conditionalFormatting sqref="P65">
    <cfRule type="cellIs" dxfId="4125" priority="255" stopIfTrue="1" operator="equal">
      <formula>"INPUT STARTER IN COLUMN D"</formula>
    </cfRule>
  </conditionalFormatting>
  <conditionalFormatting sqref="P66">
    <cfRule type="cellIs" dxfId="4124" priority="254" stopIfTrue="1" operator="equal">
      <formula>"INPUT STARTER IN COLUMN D"</formula>
    </cfRule>
  </conditionalFormatting>
  <conditionalFormatting sqref="P67">
    <cfRule type="cellIs" dxfId="4123" priority="253" stopIfTrue="1" operator="equal">
      <formula>"INPUT STARTER IN COLUMN D"</formula>
    </cfRule>
  </conditionalFormatting>
  <conditionalFormatting sqref="P68">
    <cfRule type="cellIs" dxfId="4122" priority="252" stopIfTrue="1" operator="equal">
      <formula>"INPUT STARTER IN COLUMN D"</formula>
    </cfRule>
  </conditionalFormatting>
  <conditionalFormatting sqref="P69">
    <cfRule type="cellIs" dxfId="4121" priority="251" stopIfTrue="1" operator="equal">
      <formula>"INPUT STARTER IN COLUMN D"</formula>
    </cfRule>
  </conditionalFormatting>
  <conditionalFormatting sqref="P71">
    <cfRule type="cellIs" dxfId="4120" priority="250" stopIfTrue="1" operator="equal">
      <formula>"INPUT STARTER IN COLUMN D"</formula>
    </cfRule>
  </conditionalFormatting>
  <conditionalFormatting sqref="P72">
    <cfRule type="cellIs" dxfId="4119" priority="249" stopIfTrue="1" operator="equal">
      <formula>"INPUT STARTER IN COLUMN D"</formula>
    </cfRule>
  </conditionalFormatting>
  <conditionalFormatting sqref="P73">
    <cfRule type="cellIs" dxfId="4118" priority="248" stopIfTrue="1" operator="equal">
      <formula>"INPUT STARTER IN COLUMN D"</formula>
    </cfRule>
  </conditionalFormatting>
  <conditionalFormatting sqref="P74">
    <cfRule type="cellIs" dxfId="4117" priority="247" stopIfTrue="1" operator="equal">
      <formula>"INPUT STARTER IN COLUMN D"</formula>
    </cfRule>
  </conditionalFormatting>
  <conditionalFormatting sqref="P75">
    <cfRule type="cellIs" dxfId="4116" priority="246" stopIfTrue="1" operator="equal">
      <formula>"INPUT STARTER IN COLUMN D"</formula>
    </cfRule>
  </conditionalFormatting>
  <conditionalFormatting sqref="P76">
    <cfRule type="cellIs" dxfId="4115" priority="245" stopIfTrue="1" operator="equal">
      <formula>"INPUT STARTER IN COLUMN D"</formula>
    </cfRule>
  </conditionalFormatting>
  <conditionalFormatting sqref="P77">
    <cfRule type="cellIs" dxfId="4114" priority="244" stopIfTrue="1" operator="equal">
      <formula>"INPUT STARTER IN COLUMN D"</formula>
    </cfRule>
  </conditionalFormatting>
  <conditionalFormatting sqref="P78">
    <cfRule type="cellIs" dxfId="4113" priority="243" stopIfTrue="1" operator="equal">
      <formula>"INPUT STARTER IN COLUMN D"</formula>
    </cfRule>
  </conditionalFormatting>
  <conditionalFormatting sqref="P79">
    <cfRule type="cellIs" dxfId="4112" priority="242" stopIfTrue="1" operator="equal">
      <formula>"INPUT STARTER IN COLUMN D"</formula>
    </cfRule>
  </conditionalFormatting>
  <conditionalFormatting sqref="P80">
    <cfRule type="cellIs" dxfId="4111" priority="241" stopIfTrue="1" operator="equal">
      <formula>"INPUT STARTER IN COLUMN D"</formula>
    </cfRule>
  </conditionalFormatting>
  <conditionalFormatting sqref="P81">
    <cfRule type="cellIs" dxfId="4110" priority="240" stopIfTrue="1" operator="equal">
      <formula>"INPUT STARTER IN COLUMN D"</formula>
    </cfRule>
  </conditionalFormatting>
  <conditionalFormatting sqref="P82">
    <cfRule type="cellIs" dxfId="4109" priority="239" stopIfTrue="1" operator="equal">
      <formula>"INPUT STARTER IN COLUMN D"</formula>
    </cfRule>
  </conditionalFormatting>
  <conditionalFormatting sqref="P84">
    <cfRule type="cellIs" dxfId="4108" priority="238" stopIfTrue="1" operator="equal">
      <formula>"INPUT STARTER IN COLUMN D"</formula>
    </cfRule>
  </conditionalFormatting>
  <conditionalFormatting sqref="P85">
    <cfRule type="cellIs" dxfId="4107" priority="237" stopIfTrue="1" operator="equal">
      <formula>"INPUT STARTER IN COLUMN D"</formula>
    </cfRule>
  </conditionalFormatting>
  <conditionalFormatting sqref="P86">
    <cfRule type="cellIs" dxfId="4106" priority="236" stopIfTrue="1" operator="equal">
      <formula>"INPUT STARTER IN COLUMN D"</formula>
    </cfRule>
  </conditionalFormatting>
  <conditionalFormatting sqref="P87">
    <cfRule type="cellIs" dxfId="4105" priority="235" stopIfTrue="1" operator="equal">
      <formula>"INPUT STARTER IN COLUMN D"</formula>
    </cfRule>
  </conditionalFormatting>
  <conditionalFormatting sqref="P88">
    <cfRule type="cellIs" dxfId="4104" priority="234" stopIfTrue="1" operator="equal">
      <formula>"INPUT STARTER IN COLUMN D"</formula>
    </cfRule>
  </conditionalFormatting>
  <conditionalFormatting sqref="P89">
    <cfRule type="cellIs" dxfId="4103" priority="233" stopIfTrue="1" operator="equal">
      <formula>"INPUT STARTER IN COLUMN D"</formula>
    </cfRule>
  </conditionalFormatting>
  <conditionalFormatting sqref="P91">
    <cfRule type="cellIs" dxfId="4102" priority="232" stopIfTrue="1" operator="equal">
      <formula>"INPUT STARTER IN COLUMN D"</formula>
    </cfRule>
  </conditionalFormatting>
  <conditionalFormatting sqref="P92">
    <cfRule type="cellIs" dxfId="4101" priority="231" stopIfTrue="1" operator="equal">
      <formula>"INPUT STARTER IN COLUMN D"</formula>
    </cfRule>
  </conditionalFormatting>
  <conditionalFormatting sqref="P93">
    <cfRule type="cellIs" dxfId="4100" priority="230" stopIfTrue="1" operator="equal">
      <formula>"INPUT STARTER IN COLUMN D"</formula>
    </cfRule>
  </conditionalFormatting>
  <conditionalFormatting sqref="P94">
    <cfRule type="cellIs" dxfId="4099" priority="229" stopIfTrue="1" operator="equal">
      <formula>"INPUT STARTER IN COLUMN D"</formula>
    </cfRule>
  </conditionalFormatting>
  <conditionalFormatting sqref="P95">
    <cfRule type="cellIs" dxfId="4098" priority="228" stopIfTrue="1" operator="equal">
      <formula>"INPUT STARTER IN COLUMN D"</formula>
    </cfRule>
  </conditionalFormatting>
  <conditionalFormatting sqref="P96">
    <cfRule type="cellIs" dxfId="4097" priority="227" stopIfTrue="1" operator="equal">
      <formula>"INPUT STARTER IN COLUMN D"</formula>
    </cfRule>
  </conditionalFormatting>
  <conditionalFormatting sqref="P97">
    <cfRule type="cellIs" dxfId="4096" priority="226" stopIfTrue="1" operator="equal">
      <formula>"INPUT STARTER IN COLUMN D"</formula>
    </cfRule>
  </conditionalFormatting>
  <conditionalFormatting sqref="P98">
    <cfRule type="cellIs" dxfId="4095" priority="225" stopIfTrue="1" operator="equal">
      <formula>"INPUT STARTER IN COLUMN D"</formula>
    </cfRule>
  </conditionalFormatting>
  <conditionalFormatting sqref="P99">
    <cfRule type="cellIs" dxfId="4094" priority="224" stopIfTrue="1" operator="equal">
      <formula>"INPUT STARTER IN COLUMN D"</formula>
    </cfRule>
  </conditionalFormatting>
  <conditionalFormatting sqref="P100">
    <cfRule type="cellIs" dxfId="4093" priority="223" stopIfTrue="1" operator="equal">
      <formula>"INPUT STARTER IN COLUMN D"</formula>
    </cfRule>
  </conditionalFormatting>
  <conditionalFormatting sqref="P101">
    <cfRule type="cellIs" dxfId="4092" priority="222" stopIfTrue="1" operator="equal">
      <formula>"INPUT STARTER IN COLUMN D"</formula>
    </cfRule>
  </conditionalFormatting>
  <conditionalFormatting sqref="P102">
    <cfRule type="cellIs" dxfId="4091" priority="221" stopIfTrue="1" operator="equal">
      <formula>"INPUT STARTER IN COLUMN D"</formula>
    </cfRule>
  </conditionalFormatting>
  <conditionalFormatting sqref="P106">
    <cfRule type="cellIs" dxfId="4090" priority="220" stopIfTrue="1" operator="equal">
      <formula>"INPUT STARTER IN COLUMN D"</formula>
    </cfRule>
  </conditionalFormatting>
  <conditionalFormatting sqref="P107">
    <cfRule type="cellIs" dxfId="4089" priority="219" stopIfTrue="1" operator="equal">
      <formula>"INPUT STARTER IN COLUMN D"</formula>
    </cfRule>
  </conditionalFormatting>
  <conditionalFormatting sqref="P108">
    <cfRule type="cellIs" dxfId="4088" priority="218" stopIfTrue="1" operator="equal">
      <formula>"INPUT STARTER IN COLUMN D"</formula>
    </cfRule>
  </conditionalFormatting>
  <conditionalFormatting sqref="P109">
    <cfRule type="cellIs" dxfId="4087" priority="217" stopIfTrue="1" operator="equal">
      <formula>"INPUT STARTER IN COLUMN D"</formula>
    </cfRule>
  </conditionalFormatting>
  <conditionalFormatting sqref="P110">
    <cfRule type="cellIs" dxfId="4086" priority="216" stopIfTrue="1" operator="equal">
      <formula>"INPUT STARTER IN COLUMN D"</formula>
    </cfRule>
  </conditionalFormatting>
  <conditionalFormatting sqref="P111">
    <cfRule type="cellIs" dxfId="4085" priority="215" stopIfTrue="1" operator="equal">
      <formula>"INPUT STARTER IN COLUMN D"</formula>
    </cfRule>
  </conditionalFormatting>
  <conditionalFormatting sqref="P112">
    <cfRule type="cellIs" dxfId="4084" priority="214" stopIfTrue="1" operator="equal">
      <formula>"INPUT STARTER IN COLUMN D"</formula>
    </cfRule>
  </conditionalFormatting>
  <conditionalFormatting sqref="P113">
    <cfRule type="cellIs" dxfId="4083" priority="213" stopIfTrue="1" operator="equal">
      <formula>"INPUT STARTER IN COLUMN D"</formula>
    </cfRule>
  </conditionalFormatting>
  <conditionalFormatting sqref="P114">
    <cfRule type="cellIs" dxfId="4082" priority="212" stopIfTrue="1" operator="equal">
      <formula>"INPUT STARTER IN COLUMN D"</formula>
    </cfRule>
  </conditionalFormatting>
  <conditionalFormatting sqref="P115">
    <cfRule type="cellIs" dxfId="4081" priority="211" stopIfTrue="1" operator="equal">
      <formula>"INPUT STARTER IN COLUMN D"</formula>
    </cfRule>
  </conditionalFormatting>
  <conditionalFormatting sqref="P116">
    <cfRule type="cellIs" dxfId="4080" priority="210" stopIfTrue="1" operator="equal">
      <formula>"INPUT STARTER IN COLUMN D"</formula>
    </cfRule>
  </conditionalFormatting>
  <conditionalFormatting sqref="P117">
    <cfRule type="cellIs" dxfId="4079" priority="209" stopIfTrue="1" operator="equal">
      <formula>"INPUT STARTER IN COLUMN D"</formula>
    </cfRule>
  </conditionalFormatting>
  <conditionalFormatting sqref="P118">
    <cfRule type="cellIs" dxfId="4078" priority="208" stopIfTrue="1" operator="equal">
      <formula>"INPUT STARTER IN COLUMN D"</formula>
    </cfRule>
  </conditionalFormatting>
  <conditionalFormatting sqref="P119">
    <cfRule type="cellIs" dxfId="4077" priority="207" stopIfTrue="1" operator="equal">
      <formula>"INPUT STARTER IN COLUMN D"</formula>
    </cfRule>
  </conditionalFormatting>
  <conditionalFormatting sqref="P120">
    <cfRule type="cellIs" dxfId="4076" priority="206" stopIfTrue="1" operator="equal">
      <formula>"INPUT STARTER IN COLUMN D"</formula>
    </cfRule>
  </conditionalFormatting>
  <conditionalFormatting sqref="P121">
    <cfRule type="cellIs" dxfId="4075" priority="205" stopIfTrue="1" operator="equal">
      <formula>"INPUT STARTER IN COLUMN D"</formula>
    </cfRule>
  </conditionalFormatting>
  <conditionalFormatting sqref="P122">
    <cfRule type="cellIs" dxfId="4074" priority="204" stopIfTrue="1" operator="equal">
      <formula>"INPUT STARTER IN COLUMN D"</formula>
    </cfRule>
  </conditionalFormatting>
  <conditionalFormatting sqref="P123">
    <cfRule type="cellIs" dxfId="4073" priority="203" stopIfTrue="1" operator="equal">
      <formula>"INPUT STARTER IN COLUMN D"</formula>
    </cfRule>
  </conditionalFormatting>
  <conditionalFormatting sqref="P125">
    <cfRule type="cellIs" dxfId="4072" priority="202" stopIfTrue="1" operator="equal">
      <formula>"INPUT STARTER IN COLUMN D"</formula>
    </cfRule>
  </conditionalFormatting>
  <conditionalFormatting sqref="P126">
    <cfRule type="cellIs" dxfId="4071" priority="201" stopIfTrue="1" operator="equal">
      <formula>"INPUT STARTER IN COLUMN D"</formula>
    </cfRule>
  </conditionalFormatting>
  <conditionalFormatting sqref="P127">
    <cfRule type="cellIs" dxfId="4070" priority="200" stopIfTrue="1" operator="equal">
      <formula>"INPUT STARTER IN COLUMN D"</formula>
    </cfRule>
  </conditionalFormatting>
  <conditionalFormatting sqref="P128">
    <cfRule type="cellIs" dxfId="4069" priority="199" stopIfTrue="1" operator="equal">
      <formula>"INPUT STARTER IN COLUMN D"</formula>
    </cfRule>
  </conditionalFormatting>
  <conditionalFormatting sqref="P129">
    <cfRule type="cellIs" dxfId="4068" priority="198" stopIfTrue="1" operator="equal">
      <formula>"INPUT STARTER IN COLUMN D"</formula>
    </cfRule>
  </conditionalFormatting>
  <conditionalFormatting sqref="P130">
    <cfRule type="cellIs" dxfId="4067" priority="197" stopIfTrue="1" operator="equal">
      <formula>"INPUT STARTER IN COLUMN D"</formula>
    </cfRule>
  </conditionalFormatting>
  <conditionalFormatting sqref="P131">
    <cfRule type="cellIs" dxfId="4066" priority="196" stopIfTrue="1" operator="equal">
      <formula>"INPUT STARTER IN COLUMN D"</formula>
    </cfRule>
  </conditionalFormatting>
  <conditionalFormatting sqref="P132">
    <cfRule type="cellIs" dxfId="4065" priority="195" stopIfTrue="1" operator="equal">
      <formula>"INPUT STARTER IN COLUMN D"</formula>
    </cfRule>
  </conditionalFormatting>
  <conditionalFormatting sqref="P133">
    <cfRule type="cellIs" dxfId="4064" priority="194" stopIfTrue="1" operator="equal">
      <formula>"INPUT STARTER IN COLUMN D"</formula>
    </cfRule>
  </conditionalFormatting>
  <conditionalFormatting sqref="P134">
    <cfRule type="cellIs" dxfId="4063" priority="193" stopIfTrue="1" operator="equal">
      <formula>"INPUT STARTER IN COLUMN D"</formula>
    </cfRule>
  </conditionalFormatting>
  <conditionalFormatting sqref="P135">
    <cfRule type="cellIs" dxfId="4062" priority="192" stopIfTrue="1" operator="equal">
      <formula>"INPUT STARTER IN COLUMN D"</formula>
    </cfRule>
  </conditionalFormatting>
  <conditionalFormatting sqref="P136">
    <cfRule type="cellIs" dxfId="4061" priority="191" stopIfTrue="1" operator="equal">
      <formula>"INPUT STARTER IN COLUMN D"</formula>
    </cfRule>
  </conditionalFormatting>
  <conditionalFormatting sqref="P137">
    <cfRule type="cellIs" dxfId="4060" priority="190" stopIfTrue="1" operator="equal">
      <formula>"INPUT STARTER IN COLUMN D"</formula>
    </cfRule>
  </conditionalFormatting>
  <conditionalFormatting sqref="P139">
    <cfRule type="cellIs" dxfId="4059" priority="189" stopIfTrue="1" operator="equal">
      <formula>"INPUT STARTER IN COLUMN D"</formula>
    </cfRule>
  </conditionalFormatting>
  <conditionalFormatting sqref="P140">
    <cfRule type="cellIs" dxfId="4058" priority="188" stopIfTrue="1" operator="equal">
      <formula>"INPUT STARTER IN COLUMN D"</formula>
    </cfRule>
  </conditionalFormatting>
  <conditionalFormatting sqref="P141">
    <cfRule type="cellIs" dxfId="4057" priority="187" stopIfTrue="1" operator="equal">
      <formula>"INPUT STARTER IN COLUMN D"</formula>
    </cfRule>
  </conditionalFormatting>
  <conditionalFormatting sqref="P142">
    <cfRule type="cellIs" dxfId="4056" priority="186" stopIfTrue="1" operator="equal">
      <formula>"INPUT STARTER IN COLUMN D"</formula>
    </cfRule>
  </conditionalFormatting>
  <conditionalFormatting sqref="P143">
    <cfRule type="cellIs" dxfId="4055" priority="185" stopIfTrue="1" operator="equal">
      <formula>"INPUT STARTER IN COLUMN D"</formula>
    </cfRule>
  </conditionalFormatting>
  <conditionalFormatting sqref="P144">
    <cfRule type="cellIs" dxfId="4054" priority="184" stopIfTrue="1" operator="equal">
      <formula>"INPUT STARTER IN COLUMN D"</formula>
    </cfRule>
  </conditionalFormatting>
  <conditionalFormatting sqref="P145">
    <cfRule type="cellIs" dxfId="4053" priority="183" stopIfTrue="1" operator="equal">
      <formula>"INPUT STARTER IN COLUMN D"</formula>
    </cfRule>
  </conditionalFormatting>
  <conditionalFormatting sqref="P146">
    <cfRule type="cellIs" dxfId="4052" priority="182" stopIfTrue="1" operator="equal">
      <formula>"INPUT STARTER IN COLUMN D"</formula>
    </cfRule>
  </conditionalFormatting>
  <conditionalFormatting sqref="P147">
    <cfRule type="cellIs" dxfId="4051" priority="181" stopIfTrue="1" operator="equal">
      <formula>"INPUT STARTER IN COLUMN D"</formula>
    </cfRule>
  </conditionalFormatting>
  <conditionalFormatting sqref="P148">
    <cfRule type="cellIs" dxfId="4050" priority="180" stopIfTrue="1" operator="equal">
      <formula>"INPUT STARTER IN COLUMN D"</formula>
    </cfRule>
  </conditionalFormatting>
  <conditionalFormatting sqref="P149">
    <cfRule type="cellIs" dxfId="4049" priority="179" stopIfTrue="1" operator="equal">
      <formula>"INPUT STARTER IN COLUMN D"</formula>
    </cfRule>
  </conditionalFormatting>
  <conditionalFormatting sqref="P150">
    <cfRule type="cellIs" dxfId="4048" priority="178" stopIfTrue="1" operator="equal">
      <formula>"INPUT STARTER IN COLUMN D"</formula>
    </cfRule>
  </conditionalFormatting>
  <conditionalFormatting sqref="P151">
    <cfRule type="cellIs" dxfId="4047" priority="177" stopIfTrue="1" operator="equal">
      <formula>"INPUT STARTER IN COLUMN D"</formula>
    </cfRule>
  </conditionalFormatting>
  <conditionalFormatting sqref="P152">
    <cfRule type="cellIs" dxfId="4046" priority="176" stopIfTrue="1" operator="equal">
      <formula>"INPUT STARTER IN COLUMN D"</formula>
    </cfRule>
  </conditionalFormatting>
  <conditionalFormatting sqref="P153">
    <cfRule type="cellIs" dxfId="4045" priority="175" stopIfTrue="1" operator="equal">
      <formula>"INPUT STARTER IN COLUMN D"</formula>
    </cfRule>
  </conditionalFormatting>
  <conditionalFormatting sqref="P154">
    <cfRule type="cellIs" dxfId="4044" priority="174" stopIfTrue="1" operator="equal">
      <formula>"INPUT STARTER IN COLUMN D"</formula>
    </cfRule>
  </conditionalFormatting>
  <conditionalFormatting sqref="P155">
    <cfRule type="cellIs" dxfId="4043" priority="173" stopIfTrue="1" operator="equal">
      <formula>"INPUT STARTER IN COLUMN D"</formula>
    </cfRule>
  </conditionalFormatting>
  <conditionalFormatting sqref="P157">
    <cfRule type="cellIs" dxfId="4042" priority="172" stopIfTrue="1" operator="equal">
      <formula>"INPUT STARTER IN COLUMN D"</formula>
    </cfRule>
  </conditionalFormatting>
  <conditionalFormatting sqref="P158">
    <cfRule type="cellIs" dxfId="4041" priority="171" stopIfTrue="1" operator="equal">
      <formula>"INPUT STARTER IN COLUMN D"</formula>
    </cfRule>
  </conditionalFormatting>
  <conditionalFormatting sqref="P159">
    <cfRule type="cellIs" dxfId="4040" priority="170" stopIfTrue="1" operator="equal">
      <formula>"INPUT STARTER IN COLUMN D"</formula>
    </cfRule>
  </conditionalFormatting>
  <conditionalFormatting sqref="P160">
    <cfRule type="cellIs" dxfId="4039" priority="169" stopIfTrue="1" operator="equal">
      <formula>"INPUT STARTER IN COLUMN D"</formula>
    </cfRule>
  </conditionalFormatting>
  <conditionalFormatting sqref="P161">
    <cfRule type="cellIs" dxfId="4038" priority="168" stopIfTrue="1" operator="equal">
      <formula>"INPUT STARTER IN COLUMN D"</formula>
    </cfRule>
  </conditionalFormatting>
  <conditionalFormatting sqref="P162">
    <cfRule type="cellIs" dxfId="4037" priority="167" stopIfTrue="1" operator="equal">
      <formula>"INPUT STARTER IN COLUMN D"</formula>
    </cfRule>
  </conditionalFormatting>
  <conditionalFormatting sqref="P163">
    <cfRule type="cellIs" dxfId="4036" priority="166" stopIfTrue="1" operator="equal">
      <formula>"INPUT STARTER IN COLUMN D"</formula>
    </cfRule>
  </conditionalFormatting>
  <conditionalFormatting sqref="P165">
    <cfRule type="cellIs" dxfId="4035" priority="165" stopIfTrue="1" operator="equal">
      <formula>"INPUT STARTER IN COLUMN D"</formula>
    </cfRule>
  </conditionalFormatting>
  <conditionalFormatting sqref="P166">
    <cfRule type="cellIs" dxfId="4034" priority="164" stopIfTrue="1" operator="equal">
      <formula>"INPUT STARTER IN COLUMN D"</formula>
    </cfRule>
  </conditionalFormatting>
  <conditionalFormatting sqref="P167">
    <cfRule type="cellIs" dxfId="4033" priority="163" stopIfTrue="1" operator="equal">
      <formula>"INPUT STARTER IN COLUMN D"</formula>
    </cfRule>
  </conditionalFormatting>
  <conditionalFormatting sqref="P168">
    <cfRule type="cellIs" dxfId="4032" priority="162" stopIfTrue="1" operator="equal">
      <formula>"INPUT STARTER IN COLUMN D"</formula>
    </cfRule>
  </conditionalFormatting>
  <conditionalFormatting sqref="P169">
    <cfRule type="cellIs" dxfId="4031" priority="161" stopIfTrue="1" operator="equal">
      <formula>"INPUT STARTER IN COLUMN D"</formula>
    </cfRule>
  </conditionalFormatting>
  <conditionalFormatting sqref="P170">
    <cfRule type="cellIs" dxfId="4030" priority="160" stopIfTrue="1" operator="equal">
      <formula>"INPUT STARTER IN COLUMN D"</formula>
    </cfRule>
  </conditionalFormatting>
  <conditionalFormatting sqref="P171">
    <cfRule type="cellIs" dxfId="4029" priority="159" stopIfTrue="1" operator="equal">
      <formula>"INPUT STARTER IN COLUMN D"</formula>
    </cfRule>
  </conditionalFormatting>
  <conditionalFormatting sqref="P172">
    <cfRule type="cellIs" dxfId="4028" priority="158" stopIfTrue="1" operator="equal">
      <formula>"INPUT STARTER IN COLUMN D"</formula>
    </cfRule>
  </conditionalFormatting>
  <conditionalFormatting sqref="P173">
    <cfRule type="cellIs" dxfId="4027" priority="157" stopIfTrue="1" operator="equal">
      <formula>"INPUT STARTER IN COLUMN D"</formula>
    </cfRule>
  </conditionalFormatting>
  <conditionalFormatting sqref="P174">
    <cfRule type="cellIs" dxfId="4026" priority="156" stopIfTrue="1" operator="equal">
      <formula>"INPUT STARTER IN COLUMN D"</formula>
    </cfRule>
  </conditionalFormatting>
  <conditionalFormatting sqref="P176">
    <cfRule type="cellIs" dxfId="4025" priority="155" stopIfTrue="1" operator="equal">
      <formula>"INPUT STARTER IN COLUMN D"</formula>
    </cfRule>
  </conditionalFormatting>
  <conditionalFormatting sqref="P177">
    <cfRule type="cellIs" dxfId="4024" priority="154" stopIfTrue="1" operator="equal">
      <formula>"INPUT STARTER IN COLUMN D"</formula>
    </cfRule>
  </conditionalFormatting>
  <conditionalFormatting sqref="P178">
    <cfRule type="cellIs" dxfId="4023" priority="153" stopIfTrue="1" operator="equal">
      <formula>"INPUT STARTER IN COLUMN D"</formula>
    </cfRule>
  </conditionalFormatting>
  <conditionalFormatting sqref="P179">
    <cfRule type="cellIs" dxfId="4022" priority="152" stopIfTrue="1" operator="equal">
      <formula>"INPUT STARTER IN COLUMN D"</formula>
    </cfRule>
  </conditionalFormatting>
  <conditionalFormatting sqref="P180">
    <cfRule type="cellIs" dxfId="4021" priority="151" stopIfTrue="1" operator="equal">
      <formula>"INPUT STARTER IN COLUMN D"</formula>
    </cfRule>
  </conditionalFormatting>
  <conditionalFormatting sqref="P181">
    <cfRule type="cellIs" dxfId="4020" priority="150" stopIfTrue="1" operator="equal">
      <formula>"INPUT STARTER IN COLUMN D"</formula>
    </cfRule>
  </conditionalFormatting>
  <conditionalFormatting sqref="P182">
    <cfRule type="cellIs" dxfId="4019" priority="149" stopIfTrue="1" operator="equal">
      <formula>"INPUT STARTER IN COLUMN D"</formula>
    </cfRule>
  </conditionalFormatting>
  <conditionalFormatting sqref="P183">
    <cfRule type="cellIs" dxfId="4018" priority="148" stopIfTrue="1" operator="equal">
      <formula>"INPUT STARTER IN COLUMN D"</formula>
    </cfRule>
  </conditionalFormatting>
  <conditionalFormatting sqref="P184">
    <cfRule type="cellIs" dxfId="4017" priority="147" stopIfTrue="1" operator="equal">
      <formula>"INPUT STARTER IN COLUMN D"</formula>
    </cfRule>
  </conditionalFormatting>
  <conditionalFormatting sqref="P185">
    <cfRule type="cellIs" dxfId="4016" priority="146" stopIfTrue="1" operator="equal">
      <formula>"INPUT STARTER IN COLUMN D"</formula>
    </cfRule>
  </conditionalFormatting>
  <conditionalFormatting sqref="AK3:AK22">
    <cfRule type="cellIs" dxfId="4015" priority="145" stopIfTrue="1" operator="equal">
      <formula>"must average at least 5 innings per start"</formula>
    </cfRule>
  </conditionalFormatting>
  <conditionalFormatting sqref="AK23">
    <cfRule type="cellIs" dxfId="4014" priority="144" stopIfTrue="1" operator="equal">
      <formula>"must have 162 starts"</formula>
    </cfRule>
  </conditionalFormatting>
  <conditionalFormatting sqref="AH3:AH22">
    <cfRule type="cellIs" dxfId="4013" priority="143" stopIfTrue="1" operator="equal">
      <formula>"must average at least 5 innings per start"</formula>
    </cfRule>
  </conditionalFormatting>
  <conditionalFormatting sqref="AH23">
    <cfRule type="cellIs" dxfId="4012" priority="142" stopIfTrue="1" operator="equal">
      <formula>"must have 162 starts"</formula>
    </cfRule>
  </conditionalFormatting>
  <conditionalFormatting sqref="AG3:AG22">
    <cfRule type="cellIs" dxfId="4011" priority="141" stopIfTrue="1" operator="equal">
      <formula>"must average at least 5 innings per start"</formula>
    </cfRule>
  </conditionalFormatting>
  <conditionalFormatting sqref="AG23">
    <cfRule type="cellIs" dxfId="4010" priority="140" stopIfTrue="1" operator="equal">
      <formula>"must have 162 starts"</formula>
    </cfRule>
  </conditionalFormatting>
  <conditionalFormatting sqref="AK3:AK22">
    <cfRule type="cellIs" dxfId="4009" priority="139" stopIfTrue="1" operator="equal">
      <formula>"must average at least 5 innings per start"</formula>
    </cfRule>
  </conditionalFormatting>
  <conditionalFormatting sqref="AK23">
    <cfRule type="cellIs" dxfId="4008" priority="138" stopIfTrue="1" operator="equal">
      <formula>"must have 162 starts"</formula>
    </cfRule>
  </conditionalFormatting>
  <conditionalFormatting sqref="AH3:AH22">
    <cfRule type="cellIs" dxfId="4007" priority="137" stopIfTrue="1" operator="equal">
      <formula>"must average at least 5 innings per start"</formula>
    </cfRule>
  </conditionalFormatting>
  <conditionalFormatting sqref="AH23">
    <cfRule type="cellIs" dxfId="4006" priority="136" stopIfTrue="1" operator="equal">
      <formula>"must have 162 starts"</formula>
    </cfRule>
  </conditionalFormatting>
  <conditionalFormatting sqref="AG3:AG22">
    <cfRule type="cellIs" dxfId="4005" priority="135" stopIfTrue="1" operator="equal">
      <formula>"must average at least 5 innings per start"</formula>
    </cfRule>
  </conditionalFormatting>
  <conditionalFormatting sqref="AG23">
    <cfRule type="cellIs" dxfId="4004" priority="134" stopIfTrue="1" operator="equal">
      <formula>"must have 162 starts"</formula>
    </cfRule>
  </conditionalFormatting>
  <conditionalFormatting sqref="AK3:AK22">
    <cfRule type="cellIs" dxfId="4003" priority="133" stopIfTrue="1" operator="equal">
      <formula>"must average at least 5 innings per start"</formula>
    </cfRule>
  </conditionalFormatting>
  <conditionalFormatting sqref="AK23">
    <cfRule type="cellIs" dxfId="4002" priority="132" stopIfTrue="1" operator="equal">
      <formula>"must have 162 starts"</formula>
    </cfRule>
  </conditionalFormatting>
  <conditionalFormatting sqref="AH3:AH22">
    <cfRule type="cellIs" dxfId="4001" priority="131" stopIfTrue="1" operator="equal">
      <formula>"must average at least 5 innings per start"</formula>
    </cfRule>
  </conditionalFormatting>
  <conditionalFormatting sqref="AH23">
    <cfRule type="cellIs" dxfId="4000" priority="130" stopIfTrue="1" operator="equal">
      <formula>"must have 162 starts"</formula>
    </cfRule>
  </conditionalFormatting>
  <conditionalFormatting sqref="AG3:AG22">
    <cfRule type="cellIs" dxfId="3999" priority="129" stopIfTrue="1" operator="equal">
      <formula>"must average at least 5 innings per start"</formula>
    </cfRule>
  </conditionalFormatting>
  <conditionalFormatting sqref="AG23">
    <cfRule type="cellIs" dxfId="3998" priority="128" stopIfTrue="1" operator="equal">
      <formula>"must have 162 starts"</formula>
    </cfRule>
  </conditionalFormatting>
  <conditionalFormatting sqref="AK3:AK22">
    <cfRule type="cellIs" dxfId="3997" priority="127" stopIfTrue="1" operator="equal">
      <formula>"must average at least 5 innings per start"</formula>
    </cfRule>
  </conditionalFormatting>
  <conditionalFormatting sqref="AK23">
    <cfRule type="cellIs" dxfId="3996" priority="126" stopIfTrue="1" operator="equal">
      <formula>"must have 162 starts"</formula>
    </cfRule>
  </conditionalFormatting>
  <conditionalFormatting sqref="AH3:AH22">
    <cfRule type="cellIs" dxfId="3995" priority="125" stopIfTrue="1" operator="equal">
      <formula>"must average at least 5 innings per start"</formula>
    </cfRule>
  </conditionalFormatting>
  <conditionalFormatting sqref="AH23">
    <cfRule type="cellIs" dxfId="3994" priority="124" stopIfTrue="1" operator="equal">
      <formula>"must have 162 starts"</formula>
    </cfRule>
  </conditionalFormatting>
  <conditionalFormatting sqref="AG3:AG22">
    <cfRule type="cellIs" dxfId="3993" priority="123" stopIfTrue="1" operator="equal">
      <formula>"must average at least 5 innings per start"</formula>
    </cfRule>
  </conditionalFormatting>
  <conditionalFormatting sqref="AG23">
    <cfRule type="cellIs" dxfId="3992" priority="122" stopIfTrue="1" operator="equal">
      <formula>"must have 162 starts"</formula>
    </cfRule>
  </conditionalFormatting>
  <conditionalFormatting sqref="AK3:AK22">
    <cfRule type="cellIs" dxfId="3991" priority="121" stopIfTrue="1" operator="equal">
      <formula>"must average at least 5 innings per start"</formula>
    </cfRule>
  </conditionalFormatting>
  <conditionalFormatting sqref="AK23">
    <cfRule type="cellIs" dxfId="3990" priority="120" stopIfTrue="1" operator="equal">
      <formula>"must have 162 starts"</formula>
    </cfRule>
  </conditionalFormatting>
  <conditionalFormatting sqref="AH3:AH22">
    <cfRule type="cellIs" dxfId="3989" priority="119" stopIfTrue="1" operator="equal">
      <formula>"must average at least 5 innings per start"</formula>
    </cfRule>
  </conditionalFormatting>
  <conditionalFormatting sqref="AH23">
    <cfRule type="cellIs" dxfId="3988" priority="118" stopIfTrue="1" operator="equal">
      <formula>"must have 162 starts"</formula>
    </cfRule>
  </conditionalFormatting>
  <conditionalFormatting sqref="AG3:AG22">
    <cfRule type="cellIs" dxfId="3987" priority="117" stopIfTrue="1" operator="equal">
      <formula>"must average at least 5 innings per start"</formula>
    </cfRule>
  </conditionalFormatting>
  <conditionalFormatting sqref="AG23">
    <cfRule type="cellIs" dxfId="3986" priority="116" stopIfTrue="1" operator="equal">
      <formula>"must have 162 starts"</formula>
    </cfRule>
  </conditionalFormatting>
  <conditionalFormatting sqref="AK3:AK22">
    <cfRule type="cellIs" dxfId="3985" priority="115" stopIfTrue="1" operator="equal">
      <formula>"must average at least 5 innings per start"</formula>
    </cfRule>
  </conditionalFormatting>
  <conditionalFormatting sqref="AK23">
    <cfRule type="cellIs" dxfId="3984" priority="114" stopIfTrue="1" operator="equal">
      <formula>"must have 162 starts"</formula>
    </cfRule>
  </conditionalFormatting>
  <conditionalFormatting sqref="AH3:AH22">
    <cfRule type="cellIs" dxfId="3983" priority="113" stopIfTrue="1" operator="equal">
      <formula>"must average at least 5 innings per start"</formula>
    </cfRule>
  </conditionalFormatting>
  <conditionalFormatting sqref="AH23">
    <cfRule type="cellIs" dxfId="3982" priority="112" stopIfTrue="1" operator="equal">
      <formula>"must have 162 starts"</formula>
    </cfRule>
  </conditionalFormatting>
  <conditionalFormatting sqref="AG3:AG22">
    <cfRule type="cellIs" dxfId="3981" priority="111" stopIfTrue="1" operator="equal">
      <formula>"must average at least 5 innings per start"</formula>
    </cfRule>
  </conditionalFormatting>
  <conditionalFormatting sqref="AG23">
    <cfRule type="cellIs" dxfId="3980" priority="110" stopIfTrue="1" operator="equal">
      <formula>"must have 162 starts"</formula>
    </cfRule>
  </conditionalFormatting>
  <conditionalFormatting sqref="AK3:AK22">
    <cfRule type="cellIs" dxfId="3979" priority="109" stopIfTrue="1" operator="equal">
      <formula>"must average at least 5 innings per start"</formula>
    </cfRule>
  </conditionalFormatting>
  <conditionalFormatting sqref="AK23">
    <cfRule type="cellIs" dxfId="3978" priority="108" stopIfTrue="1" operator="equal">
      <formula>"must have 162 starts"</formula>
    </cfRule>
  </conditionalFormatting>
  <conditionalFormatting sqref="AH3:AH22">
    <cfRule type="cellIs" dxfId="3977" priority="107" stopIfTrue="1" operator="equal">
      <formula>"must average at least 5 innings per start"</formula>
    </cfRule>
  </conditionalFormatting>
  <conditionalFormatting sqref="AH23">
    <cfRule type="cellIs" dxfId="3976" priority="106" stopIfTrue="1" operator="equal">
      <formula>"must have 162 starts"</formula>
    </cfRule>
  </conditionalFormatting>
  <conditionalFormatting sqref="AG3:AG22">
    <cfRule type="cellIs" dxfId="3975" priority="105" stopIfTrue="1" operator="equal">
      <formula>"must average at least 5 innings per start"</formula>
    </cfRule>
  </conditionalFormatting>
  <conditionalFormatting sqref="AG23">
    <cfRule type="cellIs" dxfId="3974" priority="104" stopIfTrue="1" operator="equal">
      <formula>"must have 162 starts"</formula>
    </cfRule>
  </conditionalFormatting>
  <conditionalFormatting sqref="AG3:AG22">
    <cfRule type="cellIs" dxfId="3973" priority="103" stopIfTrue="1" operator="equal">
      <formula>"must average at least 5 innings per start"</formula>
    </cfRule>
  </conditionalFormatting>
  <conditionalFormatting sqref="AG23">
    <cfRule type="cellIs" dxfId="3972" priority="102" stopIfTrue="1" operator="equal">
      <formula>"must have 162 starts"</formula>
    </cfRule>
  </conditionalFormatting>
  <conditionalFormatting sqref="AK3:AK22">
    <cfRule type="cellIs" dxfId="3971" priority="101" stopIfTrue="1" operator="equal">
      <formula>"must average at least 5 innings per start"</formula>
    </cfRule>
  </conditionalFormatting>
  <conditionalFormatting sqref="AK23">
    <cfRule type="cellIs" dxfId="3970" priority="100" stopIfTrue="1" operator="equal">
      <formula>"must have 162 starts"</formula>
    </cfRule>
  </conditionalFormatting>
  <conditionalFormatting sqref="AK3:AK22">
    <cfRule type="cellIs" dxfId="3969" priority="99" stopIfTrue="1" operator="equal">
      <formula>"must average at least 5 innings per start"</formula>
    </cfRule>
  </conditionalFormatting>
  <conditionalFormatting sqref="AK23">
    <cfRule type="cellIs" dxfId="3968" priority="98" stopIfTrue="1" operator="equal">
      <formula>"must have 162 starts"</formula>
    </cfRule>
  </conditionalFormatting>
  <conditionalFormatting sqref="AK3:AK22">
    <cfRule type="cellIs" dxfId="3967" priority="97" stopIfTrue="1" operator="equal">
      <formula>"must average at least 5 innings per start"</formula>
    </cfRule>
  </conditionalFormatting>
  <conditionalFormatting sqref="AK23">
    <cfRule type="cellIs" dxfId="3966" priority="96" stopIfTrue="1" operator="equal">
      <formula>"must have 162 starts"</formula>
    </cfRule>
  </conditionalFormatting>
  <conditionalFormatting sqref="AK3:AK22">
    <cfRule type="cellIs" dxfId="3965" priority="95" stopIfTrue="1" operator="equal">
      <formula>"must average at least 5 innings per start"</formula>
    </cfRule>
  </conditionalFormatting>
  <conditionalFormatting sqref="AK23">
    <cfRule type="cellIs" dxfId="3964" priority="94" stopIfTrue="1" operator="equal">
      <formula>"must have 162 starts"</formula>
    </cfRule>
  </conditionalFormatting>
  <conditionalFormatting sqref="AK3:AK22">
    <cfRule type="cellIs" dxfId="3963" priority="93" stopIfTrue="1" operator="equal">
      <formula>"must average at least 5 innings per start"</formula>
    </cfRule>
  </conditionalFormatting>
  <conditionalFormatting sqref="AK23">
    <cfRule type="cellIs" dxfId="3962" priority="92" stopIfTrue="1" operator="equal">
      <formula>"must have 162 starts"</formula>
    </cfRule>
  </conditionalFormatting>
  <conditionalFormatting sqref="AK3:AK22">
    <cfRule type="cellIs" dxfId="3961" priority="91" stopIfTrue="1" operator="equal">
      <formula>"must average at least 5 innings per start"</formula>
    </cfRule>
  </conditionalFormatting>
  <conditionalFormatting sqref="AK23">
    <cfRule type="cellIs" dxfId="3960" priority="90" stopIfTrue="1" operator="equal">
      <formula>"must have 162 starts"</formula>
    </cfRule>
  </conditionalFormatting>
  <conditionalFormatting sqref="AK3:AK22">
    <cfRule type="cellIs" dxfId="3959" priority="89" stopIfTrue="1" operator="equal">
      <formula>"must average at least 5 innings per start"</formula>
    </cfRule>
  </conditionalFormatting>
  <conditionalFormatting sqref="AK23">
    <cfRule type="cellIs" dxfId="3958" priority="88" stopIfTrue="1" operator="equal">
      <formula>"must have 162 starts"</formula>
    </cfRule>
  </conditionalFormatting>
  <conditionalFormatting sqref="AH3:AH22">
    <cfRule type="cellIs" dxfId="3957" priority="87" stopIfTrue="1" operator="equal">
      <formula>"must average at least 5 innings per start"</formula>
    </cfRule>
  </conditionalFormatting>
  <conditionalFormatting sqref="AH23">
    <cfRule type="cellIs" dxfId="3956" priority="86" stopIfTrue="1" operator="equal">
      <formula>"must have 162 starts"</formula>
    </cfRule>
  </conditionalFormatting>
  <conditionalFormatting sqref="AG3:AG22">
    <cfRule type="cellIs" dxfId="3955" priority="85" stopIfTrue="1" operator="equal">
      <formula>"must average at least 5 innings per start"</formula>
    </cfRule>
  </conditionalFormatting>
  <conditionalFormatting sqref="AG23">
    <cfRule type="cellIs" dxfId="3954" priority="84" stopIfTrue="1" operator="equal">
      <formula>"must have 162 starts"</formula>
    </cfRule>
  </conditionalFormatting>
  <conditionalFormatting sqref="AK3:AK22">
    <cfRule type="cellIs" dxfId="3953" priority="83" stopIfTrue="1" operator="equal">
      <formula>"must average at least 5 innings per start"</formula>
    </cfRule>
  </conditionalFormatting>
  <conditionalFormatting sqref="AK23">
    <cfRule type="cellIs" dxfId="3952" priority="82" stopIfTrue="1" operator="equal">
      <formula>"must have 162 starts"</formula>
    </cfRule>
  </conditionalFormatting>
  <conditionalFormatting sqref="AK3:AK22">
    <cfRule type="cellIs" dxfId="3951" priority="81" stopIfTrue="1" operator="equal">
      <formula>"must average at least 5 innings per start"</formula>
    </cfRule>
  </conditionalFormatting>
  <conditionalFormatting sqref="AK23">
    <cfRule type="cellIs" dxfId="3950" priority="80" stopIfTrue="1" operator="equal">
      <formula>"must have 162 starts"</formula>
    </cfRule>
  </conditionalFormatting>
  <conditionalFormatting sqref="AK3:AK22">
    <cfRule type="cellIs" dxfId="3949" priority="79" stopIfTrue="1" operator="equal">
      <formula>"must average at least 5 innings per start"</formula>
    </cfRule>
  </conditionalFormatting>
  <conditionalFormatting sqref="AK23">
    <cfRule type="cellIs" dxfId="3948" priority="78" stopIfTrue="1" operator="equal">
      <formula>"must have 162 starts"</formula>
    </cfRule>
  </conditionalFormatting>
  <conditionalFormatting sqref="AK3:AK22">
    <cfRule type="cellIs" dxfId="3947" priority="77" stopIfTrue="1" operator="equal">
      <formula>"must average at least 5 innings per start"</formula>
    </cfRule>
  </conditionalFormatting>
  <conditionalFormatting sqref="AK23">
    <cfRule type="cellIs" dxfId="3946" priority="76" stopIfTrue="1" operator="equal">
      <formula>"must have 162 starts"</formula>
    </cfRule>
  </conditionalFormatting>
  <conditionalFormatting sqref="AK3:AK22">
    <cfRule type="cellIs" dxfId="3945" priority="75" stopIfTrue="1" operator="equal">
      <formula>"must average at least 5 innings per start"</formula>
    </cfRule>
  </conditionalFormatting>
  <conditionalFormatting sqref="AK23">
    <cfRule type="cellIs" dxfId="3944" priority="74" stopIfTrue="1" operator="equal">
      <formula>"must have 162 starts"</formula>
    </cfRule>
  </conditionalFormatting>
  <conditionalFormatting sqref="AK3:AK22">
    <cfRule type="cellIs" dxfId="3943" priority="73" stopIfTrue="1" operator="equal">
      <formula>"must average at least 5 innings per start"</formula>
    </cfRule>
  </conditionalFormatting>
  <conditionalFormatting sqref="AK23">
    <cfRule type="cellIs" dxfId="3942" priority="72" stopIfTrue="1" operator="equal">
      <formula>"must have 162 starts"</formula>
    </cfRule>
  </conditionalFormatting>
  <conditionalFormatting sqref="AK3:AK22">
    <cfRule type="cellIs" dxfId="3941" priority="71" stopIfTrue="1" operator="equal">
      <formula>"must average at least 5 innings per start"</formula>
    </cfRule>
  </conditionalFormatting>
  <conditionalFormatting sqref="AK23">
    <cfRule type="cellIs" dxfId="3940" priority="70" stopIfTrue="1" operator="equal">
      <formula>"must have 162 starts"</formula>
    </cfRule>
  </conditionalFormatting>
  <conditionalFormatting sqref="AK3:AK22">
    <cfRule type="cellIs" dxfId="3939" priority="69" stopIfTrue="1" operator="equal">
      <formula>"must average at least 5 innings per start"</formula>
    </cfRule>
  </conditionalFormatting>
  <conditionalFormatting sqref="AK23">
    <cfRule type="cellIs" dxfId="3938" priority="68" stopIfTrue="1" operator="equal">
      <formula>"must have 162 starts"</formula>
    </cfRule>
  </conditionalFormatting>
  <conditionalFormatting sqref="AG3:AG22">
    <cfRule type="cellIs" dxfId="3937" priority="67" stopIfTrue="1" operator="equal">
      <formula>"must average at least 5 innings per start"</formula>
    </cfRule>
  </conditionalFormatting>
  <conditionalFormatting sqref="AG23">
    <cfRule type="cellIs" dxfId="3936" priority="66" stopIfTrue="1" operator="equal">
      <formula>"must have 162 starts"</formula>
    </cfRule>
  </conditionalFormatting>
  <conditionalFormatting sqref="AK3:AK22">
    <cfRule type="cellIs" dxfId="3935" priority="65" stopIfTrue="1" operator="equal">
      <formula>"must average at least 5 innings per start"</formula>
    </cfRule>
  </conditionalFormatting>
  <conditionalFormatting sqref="AK23">
    <cfRule type="cellIs" dxfId="3934" priority="64" stopIfTrue="1" operator="equal">
      <formula>"must have 162 starts"</formula>
    </cfRule>
  </conditionalFormatting>
  <conditionalFormatting sqref="AK3:AK22">
    <cfRule type="cellIs" dxfId="3933" priority="63" stopIfTrue="1" operator="equal">
      <formula>"must average at least 5 innings per start"</formula>
    </cfRule>
  </conditionalFormatting>
  <conditionalFormatting sqref="AK23">
    <cfRule type="cellIs" dxfId="3932" priority="62" stopIfTrue="1" operator="equal">
      <formula>"must have 162 starts"</formula>
    </cfRule>
  </conditionalFormatting>
  <conditionalFormatting sqref="AK3:AK22">
    <cfRule type="cellIs" dxfId="3931" priority="61" stopIfTrue="1" operator="equal">
      <formula>"must average at least 5 innings per start"</formula>
    </cfRule>
  </conditionalFormatting>
  <conditionalFormatting sqref="AK23">
    <cfRule type="cellIs" dxfId="3930" priority="60" stopIfTrue="1" operator="equal">
      <formula>"must have 162 starts"</formula>
    </cfRule>
  </conditionalFormatting>
  <conditionalFormatting sqref="AK3:AK22">
    <cfRule type="cellIs" dxfId="3929" priority="59" stopIfTrue="1" operator="equal">
      <formula>"must average at least 5 innings per start"</formula>
    </cfRule>
  </conditionalFormatting>
  <conditionalFormatting sqref="AK23">
    <cfRule type="cellIs" dxfId="3928" priority="58" stopIfTrue="1" operator="equal">
      <formula>"must have 162 starts"</formula>
    </cfRule>
  </conditionalFormatting>
  <conditionalFormatting sqref="AK3:AK22">
    <cfRule type="cellIs" dxfId="3927" priority="57" stopIfTrue="1" operator="equal">
      <formula>"must average at least 5 innings per start"</formula>
    </cfRule>
  </conditionalFormatting>
  <conditionalFormatting sqref="AK23">
    <cfRule type="cellIs" dxfId="3926" priority="56" stopIfTrue="1" operator="equal">
      <formula>"must have 162 starts"</formula>
    </cfRule>
  </conditionalFormatting>
  <conditionalFormatting sqref="AK3:AK22">
    <cfRule type="cellIs" dxfId="3925" priority="55" stopIfTrue="1" operator="equal">
      <formula>"must average at least 5 innings per start"</formula>
    </cfRule>
  </conditionalFormatting>
  <conditionalFormatting sqref="AK23">
    <cfRule type="cellIs" dxfId="3924" priority="54" stopIfTrue="1" operator="equal">
      <formula>"must have 162 starts"</formula>
    </cfRule>
  </conditionalFormatting>
  <conditionalFormatting sqref="AK3:AK22">
    <cfRule type="cellIs" dxfId="3923" priority="53" stopIfTrue="1" operator="equal">
      <formula>"must average at least 5 innings per start"</formula>
    </cfRule>
  </conditionalFormatting>
  <conditionalFormatting sqref="AK23">
    <cfRule type="cellIs" dxfId="3922" priority="52" stopIfTrue="1" operator="equal">
      <formula>"must have 162 starts"</formula>
    </cfRule>
  </conditionalFormatting>
  <conditionalFormatting sqref="AG3:AG22">
    <cfRule type="cellIs" dxfId="3921" priority="51" stopIfTrue="1" operator="equal">
      <formula>"must average at least 5 innings per start"</formula>
    </cfRule>
  </conditionalFormatting>
  <conditionalFormatting sqref="AG23">
    <cfRule type="cellIs" dxfId="3920" priority="50" stopIfTrue="1" operator="equal">
      <formula>"must have 162 starts"</formula>
    </cfRule>
  </conditionalFormatting>
  <conditionalFormatting sqref="AK3:AK22">
    <cfRule type="cellIs" dxfId="3919" priority="49" stopIfTrue="1" operator="equal">
      <formula>"must average at least 5 innings per start"</formula>
    </cfRule>
  </conditionalFormatting>
  <conditionalFormatting sqref="AK23">
    <cfRule type="cellIs" dxfId="3918" priority="48" stopIfTrue="1" operator="equal">
      <formula>"must have 162 starts"</formula>
    </cfRule>
  </conditionalFormatting>
  <conditionalFormatting sqref="AK3:AK22">
    <cfRule type="cellIs" dxfId="3917" priority="47" stopIfTrue="1" operator="equal">
      <formula>"must average at least 5 innings per start"</formula>
    </cfRule>
  </conditionalFormatting>
  <conditionalFormatting sqref="AK23">
    <cfRule type="cellIs" dxfId="3916" priority="46" stopIfTrue="1" operator="equal">
      <formula>"must have 162 starts"</formula>
    </cfRule>
  </conditionalFormatting>
  <conditionalFormatting sqref="AK3:AK22">
    <cfRule type="cellIs" dxfId="3915" priority="45" stopIfTrue="1" operator="equal">
      <formula>"must average at least 5 innings per start"</formula>
    </cfRule>
  </conditionalFormatting>
  <conditionalFormatting sqref="AK23">
    <cfRule type="cellIs" dxfId="3914" priority="44" stopIfTrue="1" operator="equal">
      <formula>"must have 162 starts"</formula>
    </cfRule>
  </conditionalFormatting>
  <conditionalFormatting sqref="AK3:AK22">
    <cfRule type="cellIs" dxfId="3913" priority="43" stopIfTrue="1" operator="equal">
      <formula>"must average at least 5 innings per start"</formula>
    </cfRule>
  </conditionalFormatting>
  <conditionalFormatting sqref="AK23">
    <cfRule type="cellIs" dxfId="3912" priority="42" stopIfTrue="1" operator="equal">
      <formula>"must have 162 starts"</formula>
    </cfRule>
  </conditionalFormatting>
  <conditionalFormatting sqref="AK3:AK22">
    <cfRule type="cellIs" dxfId="3911" priority="41" stopIfTrue="1" operator="equal">
      <formula>"must average at least 5 innings per start"</formula>
    </cfRule>
  </conditionalFormatting>
  <conditionalFormatting sqref="AK23">
    <cfRule type="cellIs" dxfId="3910" priority="40" stopIfTrue="1" operator="equal">
      <formula>"must have 162 starts"</formula>
    </cfRule>
  </conditionalFormatting>
  <conditionalFormatting sqref="AK3:AK22">
    <cfRule type="cellIs" dxfId="3909" priority="39" stopIfTrue="1" operator="equal">
      <formula>"must average at least 5 innings per start"</formula>
    </cfRule>
  </conditionalFormatting>
  <conditionalFormatting sqref="AK23">
    <cfRule type="cellIs" dxfId="3908" priority="38" stopIfTrue="1" operator="equal">
      <formula>"must have 162 starts"</formula>
    </cfRule>
  </conditionalFormatting>
  <conditionalFormatting sqref="AG3:AG22">
    <cfRule type="cellIs" dxfId="3907" priority="37" stopIfTrue="1" operator="equal">
      <formula>"must average at least 5 innings per start"</formula>
    </cfRule>
  </conditionalFormatting>
  <conditionalFormatting sqref="AG23">
    <cfRule type="cellIs" dxfId="3906" priority="36" stopIfTrue="1" operator="equal">
      <formula>"must have 162 starts"</formula>
    </cfRule>
  </conditionalFormatting>
  <conditionalFormatting sqref="AK3:AK22">
    <cfRule type="cellIs" dxfId="3905" priority="35" stopIfTrue="1" operator="equal">
      <formula>"must average at least 5 innings per start"</formula>
    </cfRule>
  </conditionalFormatting>
  <conditionalFormatting sqref="AK23">
    <cfRule type="cellIs" dxfId="3904" priority="34" stopIfTrue="1" operator="equal">
      <formula>"must have 162 starts"</formula>
    </cfRule>
  </conditionalFormatting>
  <conditionalFormatting sqref="AK3:AK22">
    <cfRule type="cellIs" dxfId="3903" priority="33" stopIfTrue="1" operator="equal">
      <formula>"must average at least 5 innings per start"</formula>
    </cfRule>
  </conditionalFormatting>
  <conditionalFormatting sqref="AK23">
    <cfRule type="cellIs" dxfId="3902" priority="32" stopIfTrue="1" operator="equal">
      <formula>"must have 162 starts"</formula>
    </cfRule>
  </conditionalFormatting>
  <conditionalFormatting sqref="AK3:AK22">
    <cfRule type="cellIs" dxfId="3901" priority="31" stopIfTrue="1" operator="equal">
      <formula>"must average at least 5 innings per start"</formula>
    </cfRule>
  </conditionalFormatting>
  <conditionalFormatting sqref="AK23">
    <cfRule type="cellIs" dxfId="3900" priority="30" stopIfTrue="1" operator="equal">
      <formula>"must have 162 starts"</formula>
    </cfRule>
  </conditionalFormatting>
  <conditionalFormatting sqref="AK3:AK22">
    <cfRule type="cellIs" dxfId="3899" priority="29" stopIfTrue="1" operator="equal">
      <formula>"must average at least 5 innings per start"</formula>
    </cfRule>
  </conditionalFormatting>
  <conditionalFormatting sqref="AK23">
    <cfRule type="cellIs" dxfId="3898" priority="28" stopIfTrue="1" operator="equal">
      <formula>"must have 162 starts"</formula>
    </cfRule>
  </conditionalFormatting>
  <conditionalFormatting sqref="AK3:AK22">
    <cfRule type="cellIs" dxfId="3897" priority="27" stopIfTrue="1" operator="equal">
      <formula>"must average at least 5 innings per start"</formula>
    </cfRule>
  </conditionalFormatting>
  <conditionalFormatting sqref="AK23">
    <cfRule type="cellIs" dxfId="3896" priority="26" stopIfTrue="1" operator="equal">
      <formula>"must have 162 starts"</formula>
    </cfRule>
  </conditionalFormatting>
  <conditionalFormatting sqref="AG3:AG22">
    <cfRule type="cellIs" dxfId="3895" priority="25" stopIfTrue="1" operator="equal">
      <formula>"must average at least 5 innings per start"</formula>
    </cfRule>
  </conditionalFormatting>
  <conditionalFormatting sqref="AG23">
    <cfRule type="cellIs" dxfId="3894" priority="24" stopIfTrue="1" operator="equal">
      <formula>"must have 162 starts"</formula>
    </cfRule>
  </conditionalFormatting>
  <conditionalFormatting sqref="AK3:AK22">
    <cfRule type="cellIs" dxfId="3893" priority="23" stopIfTrue="1" operator="equal">
      <formula>"must average at least 5 innings per start"</formula>
    </cfRule>
  </conditionalFormatting>
  <conditionalFormatting sqref="AK23">
    <cfRule type="cellIs" dxfId="3892" priority="22" stopIfTrue="1" operator="equal">
      <formula>"must have 162 starts"</formula>
    </cfRule>
  </conditionalFormatting>
  <conditionalFormatting sqref="AK3:AK22">
    <cfRule type="cellIs" dxfId="3891" priority="21" stopIfTrue="1" operator="equal">
      <formula>"must average at least 5 innings per start"</formula>
    </cfRule>
  </conditionalFormatting>
  <conditionalFormatting sqref="AK23">
    <cfRule type="cellIs" dxfId="3890" priority="20" stopIfTrue="1" operator="equal">
      <formula>"must have 162 starts"</formula>
    </cfRule>
  </conditionalFormatting>
  <conditionalFormatting sqref="AK3:AK22">
    <cfRule type="cellIs" dxfId="3889" priority="19" stopIfTrue="1" operator="equal">
      <formula>"must average at least 5 innings per start"</formula>
    </cfRule>
  </conditionalFormatting>
  <conditionalFormatting sqref="AK23">
    <cfRule type="cellIs" dxfId="3888" priority="18" stopIfTrue="1" operator="equal">
      <formula>"must have 162 starts"</formula>
    </cfRule>
  </conditionalFormatting>
  <conditionalFormatting sqref="AK3:AK22">
    <cfRule type="cellIs" dxfId="3887" priority="17" stopIfTrue="1" operator="equal">
      <formula>"must average at least 5 innings per start"</formula>
    </cfRule>
  </conditionalFormatting>
  <conditionalFormatting sqref="AK23">
    <cfRule type="cellIs" dxfId="3886" priority="16" stopIfTrue="1" operator="equal">
      <formula>"must have 162 starts"</formula>
    </cfRule>
  </conditionalFormatting>
  <conditionalFormatting sqref="AG3:AG22">
    <cfRule type="cellIs" dxfId="3885" priority="15" stopIfTrue="1" operator="equal">
      <formula>"must average at least 5 innings per start"</formula>
    </cfRule>
  </conditionalFormatting>
  <conditionalFormatting sqref="AG23">
    <cfRule type="cellIs" dxfId="3884" priority="14" stopIfTrue="1" operator="equal">
      <formula>"must have 162 starts"</formula>
    </cfRule>
  </conditionalFormatting>
  <conditionalFormatting sqref="AK3:AK22">
    <cfRule type="cellIs" dxfId="3883" priority="13" stopIfTrue="1" operator="equal">
      <formula>"must average at least 5 innings per start"</formula>
    </cfRule>
  </conditionalFormatting>
  <conditionalFormatting sqref="AK23">
    <cfRule type="cellIs" dxfId="3882" priority="12" stopIfTrue="1" operator="equal">
      <formula>"must have 162 starts"</formula>
    </cfRule>
  </conditionalFormatting>
  <conditionalFormatting sqref="AK3:AK22">
    <cfRule type="cellIs" dxfId="3881" priority="11" stopIfTrue="1" operator="equal">
      <formula>"must average at least 5 innings per start"</formula>
    </cfRule>
  </conditionalFormatting>
  <conditionalFormatting sqref="AK23">
    <cfRule type="cellIs" dxfId="3880" priority="10" stopIfTrue="1" operator="equal">
      <formula>"must have 162 starts"</formula>
    </cfRule>
  </conditionalFormatting>
  <conditionalFormatting sqref="AK3:AK22">
    <cfRule type="cellIs" dxfId="3879" priority="9" stopIfTrue="1" operator="equal">
      <formula>"must average at least 5 innings per start"</formula>
    </cfRule>
  </conditionalFormatting>
  <conditionalFormatting sqref="AK23">
    <cfRule type="cellIs" dxfId="3878" priority="8" stopIfTrue="1" operator="equal">
      <formula>"must have 162 starts"</formula>
    </cfRule>
  </conditionalFormatting>
  <conditionalFormatting sqref="AG3:AG22">
    <cfRule type="cellIs" dxfId="3877" priority="7" stopIfTrue="1" operator="equal">
      <formula>"must average at least 5 innings per start"</formula>
    </cfRule>
  </conditionalFormatting>
  <conditionalFormatting sqref="AG23">
    <cfRule type="cellIs" dxfId="3876" priority="6" stopIfTrue="1" operator="equal">
      <formula>"must have 162 starts"</formula>
    </cfRule>
  </conditionalFormatting>
  <conditionalFormatting sqref="AK3:AK22">
    <cfRule type="cellIs" dxfId="3875" priority="5" stopIfTrue="1" operator="equal">
      <formula>"must average at least 5 innings per start"</formula>
    </cfRule>
  </conditionalFormatting>
  <conditionalFormatting sqref="AK23">
    <cfRule type="cellIs" dxfId="3874" priority="4" stopIfTrue="1" operator="equal">
      <formula>"must have 162 starts"</formula>
    </cfRule>
  </conditionalFormatting>
  <conditionalFormatting sqref="AG3:AG22">
    <cfRule type="cellIs" dxfId="3873" priority="3" stopIfTrue="1" operator="equal">
      <formula>"must average at least 5 innings per start"</formula>
    </cfRule>
  </conditionalFormatting>
  <conditionalFormatting sqref="AG23">
    <cfRule type="cellIs" dxfId="3872" priority="2" stopIfTrue="1" operator="equal">
      <formula>"must have 162 starts"</formula>
    </cfRule>
  </conditionalFormatting>
  <conditionalFormatting sqref="Q2">
    <cfRule type="cellIs" dxfId="3871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scale="125" orientation="portrait" r:id="rId6"/>
  <headerFooter alignWithMargins="0">
    <oddHeader>&amp;A</oddHeader>
  </headerFooter>
  <webPublishItems count="3">
    <webPublishItem id="5281" divId="ROTcheck_5281" sourceType="sheet" destinationFile="C:\1kading\schedule\skedmid.html"/>
    <webPublishItem id="10512" divId="ROTcheck_10512" sourceType="range" sourceRef="A1:O193" destinationFile="C:\1kading\schedule\skedmid.html"/>
    <webPublishItem id="25537" divId="ROTcheck_25537" sourceType="range" sourceRef="A156:O185" destinationFile="C:\1kading\schedule\skedmid.html"/>
  </webPublishItems>
</worksheet>
</file>

<file path=xl/worksheets/sheet17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2" customWidth="1"/>
    <col min="2" max="2" width="3.7109375" style="2" customWidth="1"/>
    <col min="3" max="3" width="5.85546875" style="2" customWidth="1"/>
    <col min="4" max="4" width="28.425781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19.1406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5703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42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/>
      <c r="C3" s="33" t="s">
        <v>15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1599</v>
      </c>
      <c r="T3" s="46" t="str">
        <f>IF(ISERROR((VLOOKUP(S3,Pitchers!$B$1:H$800,4,FALSE))),"",(VLOOKUP(S3,Pitchers!$B$1:H$800,4,FALSE)))</f>
        <v>ARI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12</v>
      </c>
      <c r="X3" s="47">
        <f>IF(ISERROR((VLOOKUP(S3,Pitchers!B$2:AA$795,11,FALSE))),"",(VLOOKUP(S3,Pitchers!B$2:AA$795,11,FALSE)))</f>
        <v>30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Y</v>
      </c>
      <c r="AC3" s="52" t="str">
        <f>IF(ISERROR((VLOOKUP(S3,Pitchers!B$2:AA$795,17,FALSE))),"",(VLOOKUP(S3,Pitchers!B$2:AA$795,17,FALSE)))</f>
        <v>W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MIL</v>
      </c>
    </row>
    <row r="4" spans="1:36" ht="12.75" customHeight="1">
      <c r="A4" s="6">
        <v>4.0199999999999996</v>
      </c>
      <c r="B4" s="33"/>
      <c r="C4" s="33" t="s">
        <v>15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611</v>
      </c>
      <c r="T4" s="46" t="str">
        <f>IF(ISERROR((VLOOKUP(S4,Pitchers!$B$1:H$800,4,FALSE))),"",(VLOOKUP(S4,Pitchers!$B$1:H$800,4,FALSE)))</f>
        <v>CHW</v>
      </c>
      <c r="U4" s="45" t="str">
        <f>IF(ISERROR((VLOOKUP(S4,Pitchers!B$2:AA$795,10,FALSE))),"",(VLOOKUP(S4,Pitchers!B$2:AA$795,10,FALSE)))</f>
        <v>L</v>
      </c>
      <c r="V4" s="41"/>
      <c r="W4" s="46">
        <f>IF(ISERROR((VLOOKUP(S4,Pitchers!B$2:AA$795,13,FALSE))),"",(VLOOKUP(S4,Pitchers!B$2:AA$795,13,FALSE)))</f>
        <v>11</v>
      </c>
      <c r="X4" s="47">
        <f>IF(ISERROR((VLOOKUP(S4,Pitchers!B$2:AA$795,11,FALSE))),"",(VLOOKUP(S4,Pitchers!B$2:AA$795,11,FALSE)))</f>
        <v>209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XY</v>
      </c>
      <c r="AC4" s="52" t="str">
        <f>IF(ISERROR((VLOOKUP(S4,Pitchers!B$2:AA$795,17,FALSE))),"",(VLOOKUP(S4,Pitchers!B$2:AA$795,17,FALSE)))</f>
        <v>Z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MIL</v>
      </c>
    </row>
    <row r="5" spans="1:36" ht="12.75" customHeight="1">
      <c r="A5" s="6">
        <v>4.03</v>
      </c>
      <c r="B5" s="33"/>
      <c r="C5" s="33" t="s">
        <v>15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377</v>
      </c>
      <c r="T5" s="46" t="str">
        <f>IF(ISERROR((VLOOKUP(S5,Pitchers!$B$1:H$800,4,FALSE))),"",(VLOOKUP(S5,Pitchers!$B$1:H$800,4,FALSE)))</f>
        <v>TOT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9</v>
      </c>
      <c r="X5" s="47">
        <f>IF(ISERROR((VLOOKUP(S5,Pitchers!B$2:AA$795,11,FALSE))),"",(VLOOKUP(S5,Pitchers!B$2:AA$795,11,FALSE)))</f>
        <v>188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>Z</v>
      </c>
      <c r="AD5" s="53" t="str">
        <f>IF(ISERROR((VLOOKUP(S5,Pitchers!B$2:AA$795,18,FALSE))),"",(VLOOKUP(S5,Pitchers!B$2:AA$795,18,FALSE)))</f>
        <v>L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MIL</v>
      </c>
    </row>
    <row r="6" spans="1:36" ht="12.75" customHeight="1">
      <c r="A6" s="6">
        <v>4.04</v>
      </c>
      <c r="B6" s="33"/>
      <c r="C6" s="33" t="s">
        <v>15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431</v>
      </c>
      <c r="T6" s="46" t="str">
        <f>IF(ISERROR((VLOOKUP(S6,Pitchers!$B$1:H$800,4,FALSE))),"",(VLOOKUP(S6,Pitchers!$B$1:H$800,4,FALSE)))</f>
        <v>BOS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6</v>
      </c>
      <c r="X6" s="47">
        <f>IF(ISERROR((VLOOKUP(S6,Pitchers!B$2:AA$795,11,FALSE))),"",(VLOOKUP(S6,Pitchers!B$2:AA$795,11,FALSE)))</f>
        <v>135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MIL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1379</v>
      </c>
      <c r="T7" s="46" t="str">
        <f>IF(ISERROR((VLOOKUP(S7,Pitchers!$B$1:H$800,4,FALSE))),"",(VLOOKUP(S7,Pitchers!$B$1:H$800,4,FALSE)))</f>
        <v>MIN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6</v>
      </c>
      <c r="X7" s="47">
        <f>IF(ISERROR((VLOOKUP(S7,Pitchers!B$2:AA$795,11,FALSE))),"",(VLOOKUP(S7,Pitchers!B$2:AA$795,11,FALSE)))</f>
        <v>84</v>
      </c>
      <c r="Y7" s="48"/>
      <c r="Z7" s="49"/>
      <c r="AA7" s="50"/>
      <c r="AB7" s="51" t="str">
        <f>IF(ISERROR((VLOOKUP(S7,Pitchers!B$2:AA$795,16,FALSE))),"",(VLOOKUP(S7,Pitchers!B$2:AA$795,16,FALSE)))</f>
        <v>X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4"/>
      <c r="C8" s="33" t="s">
        <v>45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464</v>
      </c>
      <c r="T8" s="46" t="str">
        <f>IF(ISERROR((VLOOKUP(S8,Pitchers!$B$1:H$800,4,FALSE))),"",(VLOOKUP(S8,Pitchers!$B$1:H$800,4,FALSE)))</f>
        <v>PIT</v>
      </c>
      <c r="U8" s="45" t="str">
        <f>IF(ISERROR((VLOOKUP(S8,Pitchers!B$2:AA$795,10,FALSE))),"",(VLOOKUP(S8,Pitchers!B$2:AA$795,10,FALSE)))</f>
        <v>L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169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MIL</v>
      </c>
    </row>
    <row r="9" spans="1:36" ht="12.75">
      <c r="A9" s="6">
        <v>4.07</v>
      </c>
      <c r="B9" s="34"/>
      <c r="C9" s="33" t="s">
        <v>45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615</v>
      </c>
      <c r="T9" s="46" t="str">
        <f>IF(ISERROR((VLOOKUP(S9,Pitchers!$B$1:H$800,4,FALSE))),"",(VLOOKUP(S9,Pitchers!$B$1:H$800,4,FALSE)))</f>
        <v>DET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157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Y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MIL</v>
      </c>
    </row>
    <row r="10" spans="1:36" ht="12.75">
      <c r="A10" s="6">
        <v>4.08</v>
      </c>
      <c r="B10" s="34"/>
      <c r="C10" s="33" t="s">
        <v>45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393</v>
      </c>
      <c r="T10" s="46" t="str">
        <f>IF(ISERROR((VLOOKUP(S10,Pitchers!$B$1:H$800,4,FALSE))),"",(VLOOKUP(S10,Pitchers!$B$1:H$800,4,FALSE)))</f>
        <v>TEX</v>
      </c>
      <c r="U10" s="45" t="str">
        <f>IF(ISERROR((VLOOKUP(S10,Pitchers!B$2:AA$795,10,FALSE))),"",(VLOOKUP(S10,Pitchers!B$2:AA$795,10,FALSE)))</f>
        <v>L</v>
      </c>
      <c r="V10" s="41"/>
      <c r="W10" s="46">
        <f>IF(ISERROR((VLOOKUP(S10,Pitchers!B$2:AA$795,13,FALSE))),"",(VLOOKUP(S10,Pitchers!B$2:AA$795,13,FALSE)))</f>
        <v>4</v>
      </c>
      <c r="X10" s="47">
        <f>IF(ISERROR((VLOOKUP(S10,Pitchers!B$2:AA$795,11,FALSE))),"",(VLOOKUP(S10,Pitchers!B$2:AA$795,11,FALSE)))</f>
        <v>59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>M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MIL</v>
      </c>
    </row>
    <row r="11" spans="1:36" ht="12.75">
      <c r="A11" s="6">
        <v>4.09</v>
      </c>
      <c r="B11" s="34"/>
      <c r="C11" s="33" t="s">
        <v>45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 t="s">
        <v>246</v>
      </c>
      <c r="T11" s="46" t="str">
        <f>IF(ISERROR((VLOOKUP(S11,Pitchers!$B$1:H$800,4,FALSE))),"",(VLOOKUP(S11,Pitchers!$B$1:H$800,4,FALSE)))</f>
        <v>CHW</v>
      </c>
      <c r="U11" s="45" t="str">
        <f>IF(ISERROR((VLOOKUP(S11,Pitchers!B$2:AA$795,10,FALSE))),"",(VLOOKUP(S11,Pitchers!B$2:AA$795,10,FALSE)))</f>
        <v>L</v>
      </c>
      <c r="V11" s="41"/>
      <c r="W11" s="46">
        <f>IF(ISERROR((VLOOKUP(S11,Pitchers!B$2:AA$795,13,FALSE))),"",(VLOOKUP(S11,Pitchers!B$2:AA$795,13,FALSE)))</f>
        <v>3</v>
      </c>
      <c r="X11" s="47">
        <f>IF(ISERROR((VLOOKUP(S11,Pitchers!B$2:AA$795,11,FALSE))),"",(VLOOKUP(S11,Pitchers!B$2:AA$795,11,FALSE)))</f>
        <v>178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 xml:space="preserve"> </v>
      </c>
      <c r="AD11" s="53" t="str">
        <f>IF(ISERROR((VLOOKUP(S11,Pitchers!B$2:AA$795,18,FALSE))),"",(VLOOKUP(S11,Pitchers!B$2:AA$795,18,FALSE)))</f>
        <v xml:space="preserve"> 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MIL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7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33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MIL</v>
      </c>
    </row>
    <row r="14" spans="1:36" ht="12.75">
      <c r="A14" s="6">
        <v>4.12</v>
      </c>
      <c r="B14" s="32" t="s">
        <v>32</v>
      </c>
      <c r="C14" s="33" t="s">
        <v>33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MIL</v>
      </c>
    </row>
    <row r="15" spans="1:36" ht="12.75">
      <c r="A15" s="6">
        <v>4.13</v>
      </c>
      <c r="B15" s="32" t="s">
        <v>32</v>
      </c>
      <c r="C15" s="33" t="s">
        <v>33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MIL</v>
      </c>
    </row>
    <row r="16" spans="1:36" ht="12.75">
      <c r="A16" s="6">
        <v>4.1399999999999997</v>
      </c>
      <c r="B16" s="32" t="s">
        <v>32</v>
      </c>
      <c r="C16" s="33" t="s">
        <v>33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MIL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33" t="s">
        <v>17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MIL</v>
      </c>
    </row>
    <row r="19" spans="1:36" ht="12.75">
      <c r="A19" s="6">
        <v>4.17</v>
      </c>
      <c r="B19" s="33" t="s">
        <v>32</v>
      </c>
      <c r="C19" s="33" t="s">
        <v>17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MIL</v>
      </c>
    </row>
    <row r="20" spans="1:36" ht="12.75">
      <c r="A20" s="6">
        <v>4.18</v>
      </c>
      <c r="B20" s="33" t="s">
        <v>32</v>
      </c>
      <c r="C20" s="33" t="s">
        <v>17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MIL</v>
      </c>
    </row>
    <row r="21" spans="1:36" ht="12.75">
      <c r="A21" s="6">
        <v>4.1900000000000004</v>
      </c>
      <c r="B21" s="33" t="s">
        <v>32</v>
      </c>
      <c r="C21" s="33" t="s">
        <v>17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MIL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4"/>
      <c r="C23" s="33" t="s">
        <v>41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MIL</v>
      </c>
    </row>
    <row r="24" spans="1:36" ht="12.75">
      <c r="A24" s="6">
        <v>4.22</v>
      </c>
      <c r="B24" s="34"/>
      <c r="C24" s="33" t="s">
        <v>41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MIL</v>
      </c>
    </row>
    <row r="25" spans="1:36" ht="12.75">
      <c r="A25" s="6">
        <v>4.2300000000000004</v>
      </c>
      <c r="B25" s="34"/>
      <c r="C25" s="33" t="s">
        <v>41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MIL</v>
      </c>
    </row>
    <row r="26" spans="1:36" ht="12.75">
      <c r="A26" s="6">
        <v>4.24</v>
      </c>
      <c r="B26" s="34"/>
      <c r="C26" s="33" t="s">
        <v>41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MIL</v>
      </c>
    </row>
    <row r="27" spans="1:36" ht="12.75">
      <c r="A27" s="6">
        <v>4.25</v>
      </c>
      <c r="B27" s="34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3"/>
      <c r="C28" s="33" t="s">
        <v>49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MIL</v>
      </c>
    </row>
    <row r="29" spans="1:36" ht="12.75">
      <c r="A29" s="6">
        <v>4.2699999999999996</v>
      </c>
      <c r="B29" s="33"/>
      <c r="C29" s="33" t="s">
        <v>49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MIL</v>
      </c>
    </row>
    <row r="30" spans="1:36" ht="12.75">
      <c r="A30" s="6">
        <v>4.28</v>
      </c>
      <c r="B30" s="33"/>
      <c r="C30" s="33" t="s">
        <v>49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MIL</v>
      </c>
    </row>
    <row r="31" spans="1:36" ht="12.75">
      <c r="A31" s="6">
        <v>4.29</v>
      </c>
      <c r="B31" s="33"/>
      <c r="C31" s="33" t="s">
        <v>49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MIL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2"/>
      <c r="C33" s="33" t="s">
        <v>12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MIL</v>
      </c>
    </row>
    <row r="34" spans="1:36" ht="12.75">
      <c r="A34" s="6">
        <v>5.0199999999999996</v>
      </c>
      <c r="B34" s="32"/>
      <c r="C34" s="33" t="s">
        <v>12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MIL</v>
      </c>
    </row>
    <row r="35" spans="1:36" ht="12.75">
      <c r="A35" s="6">
        <v>5.03</v>
      </c>
      <c r="B35" s="32"/>
      <c r="C35" s="33" t="s">
        <v>12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MIL</v>
      </c>
    </row>
    <row r="36" spans="1:36" ht="12.75">
      <c r="A36" s="6">
        <v>5.04</v>
      </c>
      <c r="B36" s="32"/>
      <c r="C36" s="33" t="s">
        <v>12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MIL</v>
      </c>
    </row>
    <row r="37" spans="1:36" ht="12.75">
      <c r="A37" s="6">
        <v>5.05</v>
      </c>
      <c r="B37" s="33" t="s">
        <v>32</v>
      </c>
      <c r="C37" s="33" t="s">
        <v>54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MIL</v>
      </c>
    </row>
    <row r="38" spans="1:36" ht="12.75">
      <c r="A38" s="6">
        <v>5.0599999999999996</v>
      </c>
      <c r="B38" s="33" t="s">
        <v>32</v>
      </c>
      <c r="C38" s="33" t="s">
        <v>54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MIL</v>
      </c>
    </row>
    <row r="39" spans="1:36" ht="12.75">
      <c r="A39" s="6">
        <v>5.07</v>
      </c>
      <c r="B39" s="33" t="s">
        <v>32</v>
      </c>
      <c r="C39" s="33" t="s">
        <v>54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MIL</v>
      </c>
    </row>
    <row r="40" spans="1:36" ht="12.75">
      <c r="A40" s="6">
        <v>5.08</v>
      </c>
      <c r="B40" s="33" t="s">
        <v>32</v>
      </c>
      <c r="C40" s="33" t="s">
        <v>54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MIL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2" t="s">
        <v>32</v>
      </c>
      <c r="C42" s="33" t="s">
        <v>1918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MIL</v>
      </c>
    </row>
    <row r="43" spans="1:36" ht="12.75">
      <c r="A43" s="6">
        <v>5.1100000000000003</v>
      </c>
      <c r="B43" s="32" t="s">
        <v>32</v>
      </c>
      <c r="C43" s="33" t="s">
        <v>1918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MIL</v>
      </c>
    </row>
    <row r="44" spans="1:36" ht="12.75">
      <c r="A44" s="6">
        <v>5.12</v>
      </c>
      <c r="B44" s="32" t="s">
        <v>32</v>
      </c>
      <c r="C44" s="33" t="s">
        <v>1918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MIL</v>
      </c>
    </row>
    <row r="45" spans="1:36" ht="12.75">
      <c r="A45" s="6">
        <v>5.13</v>
      </c>
      <c r="B45" s="32" t="s">
        <v>32</v>
      </c>
      <c r="C45" s="33" t="s">
        <v>1918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MIL</v>
      </c>
    </row>
    <row r="46" spans="1:36" ht="12.75">
      <c r="A46" s="6">
        <v>5.14</v>
      </c>
      <c r="B46" s="33"/>
      <c r="C46" s="33" t="s">
        <v>35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MIL</v>
      </c>
    </row>
    <row r="47" spans="1:36" ht="12.75">
      <c r="A47" s="6">
        <v>5.15</v>
      </c>
      <c r="B47" s="33"/>
      <c r="C47" s="33" t="s">
        <v>35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MIL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/>
      <c r="C49" s="33" t="s">
        <v>35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MIL</v>
      </c>
    </row>
    <row r="50" spans="1:36" ht="12.75">
      <c r="A50" s="6">
        <v>5.18</v>
      </c>
      <c r="B50" s="33"/>
      <c r="C50" s="33" t="s">
        <v>35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MIL</v>
      </c>
    </row>
    <row r="51" spans="1:36" ht="12.75">
      <c r="A51" s="6">
        <v>5.19</v>
      </c>
      <c r="B51" s="32" t="s">
        <v>32</v>
      </c>
      <c r="C51" s="33" t="s">
        <v>52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MIL</v>
      </c>
    </row>
    <row r="52" spans="1:36" ht="12.75">
      <c r="A52" s="6">
        <v>5.2</v>
      </c>
      <c r="B52" s="32" t="s">
        <v>32</v>
      </c>
      <c r="C52" s="33" t="s">
        <v>52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MIL</v>
      </c>
    </row>
    <row r="53" spans="1:36" ht="12.75">
      <c r="A53" s="6">
        <v>5.21</v>
      </c>
      <c r="B53" s="32" t="s">
        <v>32</v>
      </c>
      <c r="C53" s="33" t="s">
        <v>52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MIL</v>
      </c>
    </row>
    <row r="54" spans="1:36" ht="12.75">
      <c r="A54" s="6">
        <v>5.22</v>
      </c>
      <c r="B54" s="32" t="s">
        <v>32</v>
      </c>
      <c r="C54" s="33" t="s">
        <v>52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MIL</v>
      </c>
    </row>
    <row r="55" spans="1:36" ht="12.75">
      <c r="A55" s="6">
        <v>5.23</v>
      </c>
      <c r="B55" s="32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/>
      <c r="C56" s="33" t="s">
        <v>40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MIL</v>
      </c>
    </row>
    <row r="57" spans="1:36" ht="12.75">
      <c r="A57" s="6">
        <v>5.25</v>
      </c>
      <c r="B57" s="33"/>
      <c r="C57" s="33" t="s">
        <v>40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MIL</v>
      </c>
    </row>
    <row r="58" spans="1:36" ht="12.75">
      <c r="A58" s="6">
        <v>5.26</v>
      </c>
      <c r="B58" s="33"/>
      <c r="C58" s="33" t="s">
        <v>40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MIL</v>
      </c>
    </row>
    <row r="59" spans="1:36" ht="12.75">
      <c r="A59" s="6">
        <v>5.27</v>
      </c>
      <c r="B59" s="33"/>
      <c r="C59" s="33" t="s">
        <v>40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MIL</v>
      </c>
    </row>
    <row r="60" spans="1:36" ht="12.75">
      <c r="A60" s="6">
        <v>5.28</v>
      </c>
      <c r="B60" s="32" t="s">
        <v>32</v>
      </c>
      <c r="C60" s="33" t="s">
        <v>46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MIL</v>
      </c>
    </row>
    <row r="61" spans="1:36" ht="12.75">
      <c r="A61" s="6">
        <v>5.29</v>
      </c>
      <c r="B61" s="32" t="s">
        <v>32</v>
      </c>
      <c r="C61" s="33" t="s">
        <v>46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MIL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2" t="s">
        <v>32</v>
      </c>
      <c r="C63" s="33" t="s">
        <v>46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MIL</v>
      </c>
    </row>
    <row r="64" spans="1:36" ht="12.75">
      <c r="A64" s="6">
        <v>6.01</v>
      </c>
      <c r="B64" s="32" t="s">
        <v>32</v>
      </c>
      <c r="C64" s="33" t="s">
        <v>51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MIL</v>
      </c>
    </row>
    <row r="65" spans="1:36" ht="12.75">
      <c r="A65" s="6">
        <v>6.02</v>
      </c>
      <c r="B65" s="32" t="s">
        <v>32</v>
      </c>
      <c r="C65" s="33" t="s">
        <v>51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MIL</v>
      </c>
    </row>
    <row r="66" spans="1:36" ht="12.75">
      <c r="A66" s="6">
        <v>6.03</v>
      </c>
      <c r="B66" s="32" t="s">
        <v>32</v>
      </c>
      <c r="C66" s="33" t="s">
        <v>51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MIL</v>
      </c>
    </row>
    <row r="67" spans="1:36" ht="12.75">
      <c r="A67" s="6">
        <v>6.04</v>
      </c>
      <c r="B67" s="32" t="s">
        <v>32</v>
      </c>
      <c r="C67" s="33" t="s">
        <v>51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MIL</v>
      </c>
    </row>
    <row r="68" spans="1:36" ht="12.75">
      <c r="A68" s="6">
        <v>6.05</v>
      </c>
      <c r="B68" s="33"/>
      <c r="C68" s="33" t="s">
        <v>44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MIL</v>
      </c>
    </row>
    <row r="69" spans="1:36" ht="12.75">
      <c r="A69" s="6">
        <v>6.06</v>
      </c>
      <c r="B69" s="33"/>
      <c r="C69" s="33" t="s">
        <v>44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MIL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3"/>
      <c r="C71" s="33" t="s">
        <v>44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MIL</v>
      </c>
    </row>
    <row r="72" spans="1:36" ht="12.75">
      <c r="A72" s="6">
        <v>6.09</v>
      </c>
      <c r="B72" s="33"/>
      <c r="C72" s="33" t="s">
        <v>44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MIL</v>
      </c>
    </row>
    <row r="73" spans="1:36" ht="12.75">
      <c r="A73" s="6">
        <v>6.1</v>
      </c>
      <c r="B73" s="33"/>
      <c r="C73" s="33" t="s">
        <v>48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MIL</v>
      </c>
    </row>
    <row r="74" spans="1:36" ht="12.75">
      <c r="A74" s="6">
        <v>6.11</v>
      </c>
      <c r="B74" s="33"/>
      <c r="C74" s="33" t="s">
        <v>48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MIL</v>
      </c>
    </row>
    <row r="75" spans="1:36" ht="12.75">
      <c r="A75" s="6">
        <v>6.12</v>
      </c>
      <c r="B75" s="33"/>
      <c r="C75" s="33" t="s">
        <v>48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MIL</v>
      </c>
    </row>
    <row r="76" spans="1:36" ht="12.75">
      <c r="A76" s="6">
        <v>6.13</v>
      </c>
      <c r="B76" s="33"/>
      <c r="C76" s="33" t="s">
        <v>48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MIL</v>
      </c>
    </row>
    <row r="77" spans="1:36" ht="12.75">
      <c r="A77" s="6">
        <v>6.14</v>
      </c>
      <c r="B77" s="33"/>
      <c r="C77" s="33" t="s">
        <v>39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MIL</v>
      </c>
    </row>
    <row r="78" spans="1:36" ht="12.75">
      <c r="A78" s="6">
        <v>6.15</v>
      </c>
      <c r="B78" s="33"/>
      <c r="C78" s="33" t="s">
        <v>39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MIL</v>
      </c>
    </row>
    <row r="79" spans="1:36" ht="12.75">
      <c r="A79" s="6">
        <v>6.16</v>
      </c>
      <c r="B79" s="33"/>
      <c r="C79" s="33" t="s">
        <v>39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MIL</v>
      </c>
    </row>
    <row r="80" spans="1:36" ht="12.75">
      <c r="A80" s="6">
        <v>6.17</v>
      </c>
      <c r="B80" s="33"/>
      <c r="C80" s="33" t="s">
        <v>39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MIL</v>
      </c>
    </row>
    <row r="81" spans="1:36" ht="12.75">
      <c r="A81" s="6">
        <v>6.18</v>
      </c>
      <c r="B81" s="32" t="s">
        <v>32</v>
      </c>
      <c r="C81" s="33" t="s">
        <v>47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MIL</v>
      </c>
    </row>
    <row r="82" spans="1:36" ht="12.75">
      <c r="A82" s="6">
        <v>6.19</v>
      </c>
      <c r="B82" s="32" t="s">
        <v>32</v>
      </c>
      <c r="C82" s="33" t="s">
        <v>47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MIL</v>
      </c>
    </row>
    <row r="83" spans="1:36" ht="12.75">
      <c r="A83" s="6">
        <v>6.2</v>
      </c>
      <c r="B83" s="32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2" t="s">
        <v>32</v>
      </c>
      <c r="C84" s="33" t="s">
        <v>47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MIL</v>
      </c>
    </row>
    <row r="85" spans="1:36" ht="12.75">
      <c r="A85" s="6">
        <v>6.22</v>
      </c>
      <c r="B85" s="32" t="s">
        <v>32</v>
      </c>
      <c r="C85" s="33" t="s">
        <v>47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MIL</v>
      </c>
    </row>
    <row r="86" spans="1:36" ht="12.75">
      <c r="A86" s="6">
        <v>6.23</v>
      </c>
      <c r="B86" s="32" t="s">
        <v>32</v>
      </c>
      <c r="C86" s="33" t="s">
        <v>53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MIL</v>
      </c>
    </row>
    <row r="87" spans="1:36" ht="12.75">
      <c r="A87" s="6">
        <v>6.24</v>
      </c>
      <c r="B87" s="32" t="s">
        <v>32</v>
      </c>
      <c r="C87" s="33" t="s">
        <v>53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MIL</v>
      </c>
    </row>
    <row r="88" spans="1:36" ht="12.75">
      <c r="A88" s="6">
        <v>6.25</v>
      </c>
      <c r="B88" s="32" t="s">
        <v>32</v>
      </c>
      <c r="C88" s="33" t="s">
        <v>53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MIL</v>
      </c>
    </row>
    <row r="89" spans="1:36" ht="12.75">
      <c r="A89" s="6">
        <v>6.26</v>
      </c>
      <c r="B89" s="32" t="s">
        <v>32</v>
      </c>
      <c r="C89" s="33" t="s">
        <v>53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MIL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2.75">
      <c r="A91" s="6">
        <v>6.28</v>
      </c>
      <c r="B91" s="32"/>
      <c r="C91" s="33" t="s">
        <v>13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MIL</v>
      </c>
    </row>
    <row r="92" spans="1:36" ht="12.75">
      <c r="A92" s="6">
        <v>6.29</v>
      </c>
      <c r="B92" s="32"/>
      <c r="C92" s="33" t="s">
        <v>13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MIL</v>
      </c>
    </row>
    <row r="93" spans="1:36" ht="12.75">
      <c r="A93" s="6">
        <v>6.3</v>
      </c>
      <c r="B93" s="32"/>
      <c r="C93" s="33" t="s">
        <v>13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MIL</v>
      </c>
    </row>
    <row r="94" spans="1:36" ht="12.75">
      <c r="A94" s="6">
        <v>7.01</v>
      </c>
      <c r="B94" s="33"/>
      <c r="C94" s="33" t="s">
        <v>34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MIL</v>
      </c>
    </row>
    <row r="95" spans="1:36" ht="12.75">
      <c r="A95" s="6">
        <v>7.02</v>
      </c>
      <c r="B95" s="33"/>
      <c r="C95" s="33" t="s">
        <v>34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MIL</v>
      </c>
    </row>
    <row r="96" spans="1:36" ht="12.75">
      <c r="A96" s="6">
        <v>7.03</v>
      </c>
      <c r="B96" s="33"/>
      <c r="C96" s="33" t="s">
        <v>34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MIL</v>
      </c>
    </row>
    <row r="97" spans="1:36" ht="12.75">
      <c r="A97" s="6">
        <v>7.04</v>
      </c>
      <c r="B97" s="33"/>
      <c r="C97" s="33" t="s">
        <v>1919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MIL</v>
      </c>
    </row>
    <row r="98" spans="1:36" ht="12.75">
      <c r="A98" s="6">
        <v>7.05</v>
      </c>
      <c r="B98" s="33"/>
      <c r="C98" s="33" t="s">
        <v>1919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MIL</v>
      </c>
    </row>
    <row r="99" spans="1:36" ht="12.75">
      <c r="A99" s="6">
        <v>7.06</v>
      </c>
      <c r="B99" s="33"/>
      <c r="C99" s="33" t="s">
        <v>1919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MIL</v>
      </c>
    </row>
    <row r="100" spans="1:36" ht="12.75">
      <c r="A100" s="6">
        <v>7.07</v>
      </c>
      <c r="B100" s="33"/>
      <c r="C100" s="33" t="s">
        <v>55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MIL</v>
      </c>
    </row>
    <row r="101" spans="1:36" ht="12.75">
      <c r="A101" s="6">
        <v>7.08</v>
      </c>
      <c r="B101" s="33"/>
      <c r="C101" s="33" t="s">
        <v>55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MIL</v>
      </c>
    </row>
    <row r="102" spans="1:36" ht="12.75">
      <c r="A102" s="6">
        <v>7.09</v>
      </c>
      <c r="B102" s="33"/>
      <c r="C102" s="33" t="s">
        <v>55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MIL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3" t="s">
        <v>32</v>
      </c>
      <c r="C106" s="33" t="s">
        <v>1917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MIL</v>
      </c>
    </row>
    <row r="107" spans="1:36" ht="12.75">
      <c r="A107" s="6">
        <v>7.14</v>
      </c>
      <c r="B107" s="33" t="s">
        <v>32</v>
      </c>
      <c r="C107" s="33" t="s">
        <v>1917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MIL</v>
      </c>
    </row>
    <row r="108" spans="1:36" ht="12.75">
      <c r="A108" s="6">
        <v>7.15</v>
      </c>
      <c r="B108" s="33" t="s">
        <v>32</v>
      </c>
      <c r="C108" s="33" t="s">
        <v>1917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MIL</v>
      </c>
    </row>
    <row r="109" spans="1:36" ht="12.75">
      <c r="A109" s="6">
        <v>7.16</v>
      </c>
      <c r="B109" s="32"/>
      <c r="C109" s="33" t="s">
        <v>56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MIL</v>
      </c>
    </row>
    <row r="110" spans="1:36" ht="12.75">
      <c r="A110" s="6">
        <v>7.17</v>
      </c>
      <c r="B110" s="32"/>
      <c r="C110" s="33" t="s">
        <v>56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MIL</v>
      </c>
    </row>
    <row r="111" spans="1:36" ht="12.75">
      <c r="A111" s="6">
        <v>7.18</v>
      </c>
      <c r="B111" s="32"/>
      <c r="C111" s="33" t="s">
        <v>56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MIL</v>
      </c>
    </row>
    <row r="112" spans="1:36" ht="12.75">
      <c r="A112" s="6">
        <v>7.19</v>
      </c>
      <c r="B112" s="32" t="s">
        <v>32</v>
      </c>
      <c r="C112" s="33" t="s">
        <v>16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MIL</v>
      </c>
    </row>
    <row r="113" spans="1:36" ht="12.75">
      <c r="A113" s="6">
        <v>7.2</v>
      </c>
      <c r="B113" s="32" t="s">
        <v>32</v>
      </c>
      <c r="C113" s="33" t="s">
        <v>16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MIL</v>
      </c>
    </row>
    <row r="114" spans="1:36" ht="12.75">
      <c r="A114" s="6">
        <v>7.21</v>
      </c>
      <c r="B114" s="32" t="s">
        <v>32</v>
      </c>
      <c r="C114" s="33" t="s">
        <v>16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MIL</v>
      </c>
    </row>
    <row r="115" spans="1:36" ht="12.75">
      <c r="A115" s="6">
        <v>7.22</v>
      </c>
      <c r="B115" s="32" t="s">
        <v>32</v>
      </c>
      <c r="C115" s="33" t="s">
        <v>16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MIL</v>
      </c>
    </row>
    <row r="116" spans="1:36" ht="12.75">
      <c r="A116" s="6">
        <v>7.23</v>
      </c>
      <c r="B116" s="33"/>
      <c r="C116" s="33" t="s">
        <v>43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MIL</v>
      </c>
    </row>
    <row r="117" spans="1:36" ht="12.75">
      <c r="A117" s="6">
        <v>7.24</v>
      </c>
      <c r="B117" s="33"/>
      <c r="C117" s="33" t="s">
        <v>43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MIL</v>
      </c>
    </row>
    <row r="118" spans="1:36" ht="12.75">
      <c r="A118" s="6">
        <v>7.25</v>
      </c>
      <c r="B118" s="33"/>
      <c r="C118" s="33" t="s">
        <v>43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MIL</v>
      </c>
    </row>
    <row r="119" spans="1:36" ht="12.75">
      <c r="A119" s="6">
        <v>7.26</v>
      </c>
      <c r="B119" s="33"/>
      <c r="C119" s="33" t="s">
        <v>43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MIL</v>
      </c>
    </row>
    <row r="120" spans="1:36" ht="12.75">
      <c r="A120" s="6">
        <v>7.27</v>
      </c>
      <c r="B120" s="32" t="s">
        <v>32</v>
      </c>
      <c r="C120" s="33" t="s">
        <v>14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MIL</v>
      </c>
    </row>
    <row r="121" spans="1:36" ht="12.75">
      <c r="A121" s="6">
        <v>7.28</v>
      </c>
      <c r="B121" s="32" t="s">
        <v>32</v>
      </c>
      <c r="C121" s="33" t="s">
        <v>14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MIL</v>
      </c>
    </row>
    <row r="122" spans="1:36" ht="12.75">
      <c r="A122" s="6">
        <v>7.29</v>
      </c>
      <c r="B122" s="32" t="s">
        <v>32</v>
      </c>
      <c r="C122" s="33" t="s">
        <v>14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MIL</v>
      </c>
    </row>
    <row r="123" spans="1:36" ht="12.75">
      <c r="A123" s="6">
        <v>7.3</v>
      </c>
      <c r="B123" s="32" t="s">
        <v>32</v>
      </c>
      <c r="C123" s="33" t="s">
        <v>14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MIL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2"/>
      <c r="C125" s="33" t="s">
        <v>1191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MIL</v>
      </c>
    </row>
    <row r="126" spans="1:36" ht="12.75">
      <c r="A126" s="6">
        <v>8.02</v>
      </c>
      <c r="B126" s="32"/>
      <c r="C126" s="33" t="s">
        <v>1191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MIL</v>
      </c>
    </row>
    <row r="127" spans="1:36" ht="12.75">
      <c r="A127" s="6">
        <v>8.0299999999999994</v>
      </c>
      <c r="B127" s="32"/>
      <c r="C127" s="33" t="s">
        <v>1191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MIL</v>
      </c>
    </row>
    <row r="128" spans="1:36" ht="12.75">
      <c r="A128" s="6">
        <v>8.0399999999999991</v>
      </c>
      <c r="B128" s="32"/>
      <c r="C128" s="33" t="s">
        <v>1191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MIL</v>
      </c>
    </row>
    <row r="129" spans="1:36" ht="12.75">
      <c r="A129" s="6">
        <v>8.0500000000000007</v>
      </c>
      <c r="B129" s="32" t="s">
        <v>32</v>
      </c>
      <c r="C129" s="33" t="s">
        <v>34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MIL</v>
      </c>
    </row>
    <row r="130" spans="1:36" ht="12.75">
      <c r="A130" s="6">
        <v>8.06</v>
      </c>
      <c r="B130" s="32" t="s">
        <v>32</v>
      </c>
      <c r="C130" s="33" t="s">
        <v>34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MIL</v>
      </c>
    </row>
    <row r="131" spans="1:36" ht="12.75">
      <c r="A131" s="6">
        <v>8.07</v>
      </c>
      <c r="B131" s="32" t="s">
        <v>32</v>
      </c>
      <c r="C131" s="33" t="s">
        <v>34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MIL</v>
      </c>
    </row>
    <row r="132" spans="1:36" ht="12.75">
      <c r="A132" s="6">
        <v>8.08</v>
      </c>
      <c r="B132" s="32" t="s">
        <v>32</v>
      </c>
      <c r="C132" s="33" t="s">
        <v>34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MIL</v>
      </c>
    </row>
    <row r="133" spans="1:36" ht="12.75">
      <c r="A133" s="6">
        <v>8.09</v>
      </c>
      <c r="B133" s="32" t="s">
        <v>32</v>
      </c>
      <c r="C133" s="33" t="s">
        <v>56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MIL</v>
      </c>
    </row>
    <row r="134" spans="1:36" ht="12.75">
      <c r="A134" s="6">
        <v>8.1</v>
      </c>
      <c r="B134" s="32" t="s">
        <v>32</v>
      </c>
      <c r="C134" s="33" t="s">
        <v>56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MIL</v>
      </c>
    </row>
    <row r="135" spans="1:36" ht="12.75">
      <c r="A135" s="6">
        <v>8.11</v>
      </c>
      <c r="B135" s="32" t="s">
        <v>32</v>
      </c>
      <c r="C135" s="33" t="s">
        <v>56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MIL</v>
      </c>
    </row>
    <row r="136" spans="1:36" ht="12.75">
      <c r="A136" s="6">
        <v>8.1199999999999992</v>
      </c>
      <c r="B136" s="32" t="s">
        <v>32</v>
      </c>
      <c r="C136" s="33" t="s">
        <v>56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MIL</v>
      </c>
    </row>
    <row r="137" spans="1:36" ht="12.75">
      <c r="A137" s="6">
        <v>8.1300000000000008</v>
      </c>
      <c r="B137" s="32" t="s">
        <v>32</v>
      </c>
      <c r="C137" s="33" t="s">
        <v>13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MIL</v>
      </c>
    </row>
    <row r="138" spans="1:36" ht="12.75">
      <c r="A138" s="6">
        <v>8.14</v>
      </c>
      <c r="B138" s="32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2" t="s">
        <v>32</v>
      </c>
      <c r="C139" s="33" t="s">
        <v>13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MIL</v>
      </c>
    </row>
    <row r="140" spans="1:36" ht="12.75">
      <c r="A140" s="6">
        <v>8.16</v>
      </c>
      <c r="B140" s="32" t="s">
        <v>32</v>
      </c>
      <c r="C140" s="33" t="s">
        <v>13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MIL</v>
      </c>
    </row>
    <row r="141" spans="1:36" ht="12.75">
      <c r="A141" s="6">
        <v>8.17</v>
      </c>
      <c r="B141" s="32" t="s">
        <v>32</v>
      </c>
      <c r="C141" s="33" t="s">
        <v>13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MIL</v>
      </c>
    </row>
    <row r="142" spans="1:36" ht="12.75">
      <c r="A142" s="6">
        <v>8.18</v>
      </c>
      <c r="B142" s="33" t="s">
        <v>32</v>
      </c>
      <c r="C142" s="33" t="s">
        <v>12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MIL</v>
      </c>
    </row>
    <row r="143" spans="1:36" ht="12.75">
      <c r="A143" s="6">
        <v>8.19</v>
      </c>
      <c r="B143" s="33" t="s">
        <v>32</v>
      </c>
      <c r="C143" s="33" t="s">
        <v>12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MIL</v>
      </c>
    </row>
    <row r="144" spans="1:36" ht="12.75">
      <c r="A144" s="6">
        <v>8.1999999999999993</v>
      </c>
      <c r="B144" s="33" t="s">
        <v>32</v>
      </c>
      <c r="C144" s="33" t="s">
        <v>12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MIL</v>
      </c>
    </row>
    <row r="145" spans="1:36" ht="12.75">
      <c r="A145" s="6">
        <v>8.2100000000000009</v>
      </c>
      <c r="B145" s="32"/>
      <c r="C145" s="33" t="s">
        <v>1917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MIL</v>
      </c>
    </row>
    <row r="146" spans="1:36" ht="12.75">
      <c r="A146" s="6">
        <v>8.2200000000000006</v>
      </c>
      <c r="B146" s="32"/>
      <c r="C146" s="33" t="s">
        <v>1917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MIL</v>
      </c>
    </row>
    <row r="147" spans="1:36" ht="12.75">
      <c r="A147" s="6">
        <v>8.23</v>
      </c>
      <c r="B147" s="32"/>
      <c r="C147" s="33" t="s">
        <v>1917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MIL</v>
      </c>
    </row>
    <row r="148" spans="1:36" ht="12.75">
      <c r="A148" s="6">
        <v>8.24</v>
      </c>
      <c r="B148" s="32"/>
      <c r="C148" s="33" t="s">
        <v>1917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MIL</v>
      </c>
    </row>
    <row r="149" spans="1:36" ht="12.75">
      <c r="A149" s="6">
        <v>8.25</v>
      </c>
      <c r="B149" s="32" t="s">
        <v>32</v>
      </c>
      <c r="C149" s="33" t="s">
        <v>1919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MIL</v>
      </c>
    </row>
    <row r="150" spans="1:36" ht="12.75">
      <c r="A150" s="6">
        <v>8.26</v>
      </c>
      <c r="B150" s="32" t="s">
        <v>32</v>
      </c>
      <c r="C150" s="33" t="s">
        <v>1919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MIL</v>
      </c>
    </row>
    <row r="151" spans="1:36" ht="12.75">
      <c r="A151" s="6">
        <v>8.27</v>
      </c>
      <c r="B151" s="32" t="s">
        <v>32</v>
      </c>
      <c r="C151" s="33" t="s">
        <v>1919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MIL</v>
      </c>
    </row>
    <row r="152" spans="1:36" ht="12.75">
      <c r="A152" s="6">
        <v>8.2799999999999994</v>
      </c>
      <c r="B152" s="32" t="s">
        <v>32</v>
      </c>
      <c r="C152" s="33" t="s">
        <v>1919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MIL</v>
      </c>
    </row>
    <row r="153" spans="1:36" ht="12.75">
      <c r="A153" s="6">
        <v>8.2899999999999991</v>
      </c>
      <c r="B153" s="33"/>
      <c r="C153" s="33" t="s">
        <v>54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MIL</v>
      </c>
    </row>
    <row r="154" spans="1:36" ht="12.75">
      <c r="A154" s="6">
        <v>8.3000000000000007</v>
      </c>
      <c r="B154" s="33"/>
      <c r="C154" s="33" t="s">
        <v>54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MIL</v>
      </c>
    </row>
    <row r="155" spans="1:36" ht="12.75">
      <c r="A155" s="6">
        <v>8.31</v>
      </c>
      <c r="B155" s="33"/>
      <c r="C155" s="33" t="s">
        <v>54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MIL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/>
      <c r="C157" s="33" t="s">
        <v>52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MIL</v>
      </c>
    </row>
    <row r="158" spans="1:36" ht="12.75">
      <c r="A158" s="6">
        <v>9.0299999999999994</v>
      </c>
      <c r="B158" s="33"/>
      <c r="C158" s="33" t="s">
        <v>52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MIL</v>
      </c>
    </row>
    <row r="159" spans="1:36" ht="12.75">
      <c r="A159" s="6">
        <v>9.0399999999999991</v>
      </c>
      <c r="B159" s="33"/>
      <c r="C159" s="33" t="s">
        <v>52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MIL</v>
      </c>
    </row>
    <row r="160" spans="1:36" ht="12.75">
      <c r="A160" s="6">
        <v>9.0500000000000007</v>
      </c>
      <c r="B160" s="32" t="s">
        <v>32</v>
      </c>
      <c r="C160" s="33" t="s">
        <v>44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MIL</v>
      </c>
    </row>
    <row r="161" spans="1:36" ht="12.75">
      <c r="A161" s="6">
        <v>9.06</v>
      </c>
      <c r="B161" s="32" t="s">
        <v>32</v>
      </c>
      <c r="C161" s="33" t="s">
        <v>44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MIL</v>
      </c>
    </row>
    <row r="162" spans="1:36" ht="12.75">
      <c r="A162" s="6">
        <v>9.07</v>
      </c>
      <c r="B162" s="32" t="s">
        <v>32</v>
      </c>
      <c r="C162" s="33" t="s">
        <v>44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MIL</v>
      </c>
    </row>
    <row r="163" spans="1:36" ht="12.75">
      <c r="A163" s="6">
        <v>9.08</v>
      </c>
      <c r="B163" s="32" t="s">
        <v>32</v>
      </c>
      <c r="C163" s="33" t="s">
        <v>35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MIL</v>
      </c>
    </row>
    <row r="164" spans="1:36" ht="12.75">
      <c r="A164" s="6">
        <v>9.09</v>
      </c>
      <c r="B164" s="32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2" t="s">
        <v>32</v>
      </c>
      <c r="C165" s="33" t="s">
        <v>35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MIL</v>
      </c>
    </row>
    <row r="166" spans="1:36" ht="12.75">
      <c r="A166" s="6">
        <v>9.11</v>
      </c>
      <c r="B166" s="32" t="s">
        <v>32</v>
      </c>
      <c r="C166" s="33" t="s">
        <v>35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MIL</v>
      </c>
    </row>
    <row r="167" spans="1:36" ht="12.75">
      <c r="A167" s="6">
        <v>9.1199999999999992</v>
      </c>
      <c r="B167" s="33"/>
      <c r="C167" s="33" t="s">
        <v>46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MIL</v>
      </c>
    </row>
    <row r="168" spans="1:36" ht="12.75">
      <c r="A168" s="6">
        <v>9.1300000000000008</v>
      </c>
      <c r="B168" s="33"/>
      <c r="C168" s="33" t="s">
        <v>46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MIL</v>
      </c>
    </row>
    <row r="169" spans="1:36" ht="12.75">
      <c r="A169" s="6">
        <v>9.14</v>
      </c>
      <c r="B169" s="33"/>
      <c r="C169" s="33" t="s">
        <v>46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MIL</v>
      </c>
    </row>
    <row r="170" spans="1:36" ht="12.75">
      <c r="A170" s="6">
        <v>9.15</v>
      </c>
      <c r="B170" s="33"/>
      <c r="C170" s="33" t="s">
        <v>46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MIL</v>
      </c>
    </row>
    <row r="171" spans="1:36" ht="12.75">
      <c r="A171" s="6">
        <v>9.16</v>
      </c>
      <c r="B171" s="33" t="s">
        <v>32</v>
      </c>
      <c r="C171" s="33" t="s">
        <v>1191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MIL</v>
      </c>
    </row>
    <row r="172" spans="1:36" ht="12.75">
      <c r="A172" s="6">
        <v>9.17</v>
      </c>
      <c r="B172" s="33" t="s">
        <v>32</v>
      </c>
      <c r="C172" s="33" t="s">
        <v>1191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MIL</v>
      </c>
    </row>
    <row r="173" spans="1:36" ht="12.75">
      <c r="A173" s="6">
        <v>9.18</v>
      </c>
      <c r="B173" s="33" t="s">
        <v>32</v>
      </c>
      <c r="C173" s="33" t="s">
        <v>1191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MIL</v>
      </c>
    </row>
    <row r="174" spans="1:36" ht="12.75">
      <c r="A174" s="6">
        <v>9.19</v>
      </c>
      <c r="B174" s="32" t="s">
        <v>32</v>
      </c>
      <c r="C174" s="33" t="s">
        <v>55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MIL</v>
      </c>
    </row>
    <row r="175" spans="1:36" ht="12.75">
      <c r="A175" s="6">
        <v>9.1999999999999993</v>
      </c>
      <c r="B175" s="32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2" t="s">
        <v>32</v>
      </c>
      <c r="C176" s="33" t="s">
        <v>55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MIL</v>
      </c>
    </row>
    <row r="177" spans="1:36" ht="12.75">
      <c r="A177" s="6">
        <v>9.2200000000000006</v>
      </c>
      <c r="B177" s="32" t="s">
        <v>32</v>
      </c>
      <c r="C177" s="33" t="s">
        <v>55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MIL</v>
      </c>
    </row>
    <row r="178" spans="1:36" ht="12.75">
      <c r="A178" s="6">
        <v>9.23</v>
      </c>
      <c r="B178" s="32" t="s">
        <v>32</v>
      </c>
      <c r="C178" s="33" t="s">
        <v>55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MIL</v>
      </c>
    </row>
    <row r="179" spans="1:36" ht="12.75">
      <c r="A179" s="6">
        <v>9.24</v>
      </c>
      <c r="B179" s="32" t="s">
        <v>32</v>
      </c>
      <c r="C179" s="33" t="s">
        <v>15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MIL</v>
      </c>
    </row>
    <row r="180" spans="1:36" ht="12.75">
      <c r="A180" s="6">
        <v>9.25</v>
      </c>
      <c r="B180" s="32" t="s">
        <v>32</v>
      </c>
      <c r="C180" s="33" t="s">
        <v>15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MIL</v>
      </c>
    </row>
    <row r="181" spans="1:36" ht="12.75">
      <c r="A181" s="6">
        <v>9.26</v>
      </c>
      <c r="B181" s="32" t="s">
        <v>32</v>
      </c>
      <c r="C181" s="33" t="s">
        <v>15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MIL</v>
      </c>
    </row>
    <row r="182" spans="1:36" ht="12.75">
      <c r="A182" s="6">
        <v>9.27</v>
      </c>
      <c r="B182" s="33"/>
      <c r="C182" s="33" t="s">
        <v>53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MIL</v>
      </c>
    </row>
    <row r="183" spans="1:36" ht="12.75">
      <c r="A183" s="6">
        <v>9.2799999999999994</v>
      </c>
      <c r="B183" s="33"/>
      <c r="C183" s="33" t="s">
        <v>53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MIL</v>
      </c>
    </row>
    <row r="184" spans="1:36" ht="12.75">
      <c r="A184" s="6">
        <v>9.2899999999999991</v>
      </c>
      <c r="B184" s="33"/>
      <c r="C184" s="33" t="s">
        <v>53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MIL</v>
      </c>
    </row>
    <row r="185" spans="1:36" ht="12.75">
      <c r="A185" s="6">
        <v>9.3000000000000007</v>
      </c>
      <c r="B185" s="33"/>
      <c r="C185" s="33" t="s">
        <v>53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MIL</v>
      </c>
    </row>
    <row r="186" spans="1:36">
      <c r="A186" s="6"/>
      <c r="B186" s="6"/>
      <c r="D186" s="15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6"/>
      <c r="B190" s="6"/>
      <c r="C190" s="7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A191" s="6"/>
      <c r="B191" s="6"/>
      <c r="C191" s="7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Q191" s="5"/>
      <c r="R191" s="10"/>
      <c r="AJ191" s="2"/>
    </row>
    <row r="192" spans="1:36">
      <c r="A192" s="6"/>
      <c r="B192" s="6"/>
      <c r="C192" s="7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Q192" s="5"/>
      <c r="R192" s="10"/>
      <c r="AJ192" s="2"/>
    </row>
    <row r="193" spans="1:36">
      <c r="A193" s="6"/>
      <c r="B193" s="6"/>
      <c r="C193" s="7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Q193" s="5"/>
      <c r="R193" s="10"/>
      <c r="AJ193" s="2"/>
    </row>
    <row r="194" spans="1:36">
      <c r="D194" s="15"/>
      <c r="K194" s="2"/>
      <c r="AJ194" s="2"/>
    </row>
    <row r="195" spans="1:36">
      <c r="D195" s="15"/>
      <c r="K195" s="2"/>
      <c r="AJ195" s="2"/>
    </row>
    <row r="196" spans="1:36">
      <c r="K196" s="2"/>
      <c r="AJ196" s="2"/>
    </row>
    <row r="197" spans="1:36">
      <c r="K197" s="2"/>
      <c r="AJ197" s="2"/>
    </row>
    <row r="198" spans="1:36">
      <c r="K198" s="2"/>
      <c r="AJ198" s="2"/>
    </row>
    <row r="199" spans="1:36">
      <c r="K199" s="2"/>
      <c r="AJ199" s="2"/>
    </row>
    <row r="200" spans="1:36">
      <c r="K200" s="2"/>
      <c r="AJ200" s="2"/>
    </row>
    <row r="201" spans="1:36">
      <c r="K201" s="2"/>
      <c r="AJ201" s="2"/>
    </row>
    <row r="202" spans="1:36">
      <c r="K202" s="2"/>
      <c r="AJ202" s="2"/>
    </row>
    <row r="203" spans="1:36">
      <c r="K203" s="2"/>
      <c r="AJ203" s="2"/>
    </row>
    <row r="204" spans="1:36">
      <c r="AJ204" s="2"/>
    </row>
    <row r="205" spans="1:36">
      <c r="AJ205" s="2"/>
    </row>
    <row r="206" spans="1:36">
      <c r="AJ206" s="2"/>
    </row>
    <row r="207" spans="1:36">
      <c r="AJ207" s="2"/>
    </row>
    <row r="208" spans="1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G3:AG22">
    <cfRule type="cellIs" dxfId="3870" priority="458" stopIfTrue="1" operator="equal">
      <formula>"must average at least 5 innings per start"</formula>
    </cfRule>
  </conditionalFormatting>
  <conditionalFormatting sqref="P3">
    <cfRule type="cellIs" dxfId="3869" priority="459" stopIfTrue="1" operator="equal">
      <formula>"input starter in column D"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3868" priority="460" stopIfTrue="1" operator="equal">
      <formula>"input a different starter in column C"</formula>
    </cfRule>
  </conditionalFormatting>
  <conditionalFormatting sqref="AG23">
    <cfRule type="cellIs" dxfId="3867" priority="462" stopIfTrue="1" operator="equal">
      <formula>"must have 162 starts"</formula>
    </cfRule>
  </conditionalFormatting>
  <conditionalFormatting sqref="P4">
    <cfRule type="cellIs" dxfId="3866" priority="162" stopIfTrue="1" operator="equal">
      <formula>"input starter in column D"</formula>
    </cfRule>
  </conditionalFormatting>
  <conditionalFormatting sqref="P5:P6 P8:P11 P13:P16 P18:P21 P23:P26 P28:P31 P33:P40 P42:P47 P49:P54 P56:P61 P63:P69 P71:P82 P84:P89 P91:P102 P106:P123 P125:P137 P139:P155 P157:P163 P165:P174 P176:P185">
    <cfRule type="cellIs" dxfId="3865" priority="161" stopIfTrue="1" operator="equal">
      <formula>"INPUT STARTER IN COLUMN D"</formula>
    </cfRule>
  </conditionalFormatting>
  <conditionalFormatting sqref="Q2">
    <cfRule type="cellIs" dxfId="3864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1311" divId="ROTcheck_21311" sourceType="sheet" destinationFile="C:\1kading\schedule\skedavr.html"/>
    <webPublishItem id="30458" divId="ROTcheck_30458" sourceType="range" sourceRef="A1:O194" destinationFile="C:\1kading\schedule\skedavr.html"/>
    <webPublishItem id="7524" divId="ROTcheck_7524" sourceType="range" sourceRef="A156:O185" destinationFile="C:\1kading\schedule\skedavr.html"/>
  </webPublishItems>
</worksheet>
</file>

<file path=xl/worksheets/sheet18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6.85546875" style="1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21.8554687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9.1406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53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/>
      <c r="C3" s="33" t="s">
        <v>56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479</v>
      </c>
      <c r="T3" s="46" t="str">
        <f>IF(ISERROR((VLOOKUP(S3,Pitchers!$B$1:H$800,4,FALSE))),"",(VLOOKUP(S3,Pitchers!$B$1:H$800,4,FALSE)))</f>
        <v>STL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13</v>
      </c>
      <c r="X3" s="47">
        <f>IF(ISERROR((VLOOKUP(S3,Pitchers!B$2:AA$795,11,FALSE))),"",(VLOOKUP(S3,Pitchers!B$2:AA$795,11,FALSE)))</f>
        <v>175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MPG</v>
      </c>
    </row>
    <row r="4" spans="1:36" ht="12.75">
      <c r="A4" s="6">
        <v>4.0199999999999996</v>
      </c>
      <c r="B4" s="33"/>
      <c r="C4" s="33" t="s">
        <v>56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1419</v>
      </c>
      <c r="T4" s="46" t="str">
        <f>IF(ISERROR((VLOOKUP(S4,Pitchers!$B$1:H$800,4,FALSE))),"",(VLOOKUP(S4,Pitchers!$B$1:H$800,4,FALSE)))</f>
        <v>TOR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12</v>
      </c>
      <c r="X4" s="47">
        <f>IF(ISERROR((VLOOKUP(S4,Pitchers!B$2:AA$795,11,FALSE))),"",(VLOOKUP(S4,Pitchers!B$2:AA$795,11,FALSE)))</f>
        <v>66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 xml:space="preserve"> </v>
      </c>
      <c r="AC4" s="52" t="str">
        <f>IF(ISERROR((VLOOKUP(S4,Pitchers!B$2:AA$795,17,FALSE))),"",(VLOOKUP(S4,Pitchers!B$2:AA$795,17,FALSE)))</f>
        <v>W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MPG</v>
      </c>
    </row>
    <row r="5" spans="1:36" ht="12.75">
      <c r="A5" s="6">
        <v>4.03</v>
      </c>
      <c r="B5" s="33"/>
      <c r="C5" s="33" t="s">
        <v>56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274</v>
      </c>
      <c r="T5" s="46" t="str">
        <f>IF(ISERROR((VLOOKUP(S5,Pitchers!$B$1:H$800,4,FALSE))),"",(VLOOKUP(S5,Pitchers!$B$1:H$800,4,FALSE)))</f>
        <v>KCR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9</v>
      </c>
      <c r="X5" s="47">
        <f>IF(ISERROR((VLOOKUP(S5,Pitchers!B$2:AA$795,11,FALSE))),"",(VLOOKUP(S5,Pitchers!B$2:AA$795,11,FALSE)))</f>
        <v>129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>W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MPG</v>
      </c>
    </row>
    <row r="6" spans="1:36" ht="12.75">
      <c r="A6" s="6">
        <v>4.04</v>
      </c>
      <c r="B6" s="32"/>
      <c r="C6" s="33" t="s">
        <v>56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1458</v>
      </c>
      <c r="T6" s="46" t="str">
        <f>IF(ISERROR((VLOOKUP(S6,Pitchers!$B$1:H$800,4,FALSE))),"",(VLOOKUP(S6,Pitchers!$B$1:H$800,4,FALSE)))</f>
        <v>COL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8</v>
      </c>
      <c r="X6" s="47">
        <f>IF(ISERROR((VLOOKUP(S6,Pitchers!B$2:AA$795,11,FALSE))),"",(VLOOKUP(S6,Pitchers!B$2:AA$795,11,FALSE)))</f>
        <v>149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>W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MPG</v>
      </c>
    </row>
    <row r="7" spans="1:36" ht="15">
      <c r="A7" s="6">
        <v>4.05</v>
      </c>
      <c r="B7" s="32"/>
      <c r="C7" s="36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1661</v>
      </c>
      <c r="T7" s="46" t="str">
        <f>IF(ISERROR((VLOOKUP(S7,Pitchers!$B$1:H$800,4,FALSE))),"",(VLOOKUP(S7,Pitchers!$B$1:H$800,4,FALSE)))</f>
        <v>MIL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8</v>
      </c>
      <c r="X7" s="47">
        <f>IF(ISERROR((VLOOKUP(S7,Pitchers!B$2:AA$795,11,FALSE))),"",(VLOOKUP(S7,Pitchers!B$2:AA$795,11,FALSE)))</f>
        <v>120</v>
      </c>
      <c r="Y7" s="48"/>
      <c r="Z7" s="49"/>
      <c r="AA7" s="50"/>
      <c r="AB7" s="51" t="str">
        <f>IF(ISERROR((VLOOKUP(S7,Pitchers!B$2:AA$795,16,FALSE))),"",(VLOOKUP(S7,Pitchers!B$2:AA$795,16,FALSE)))</f>
        <v>Y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39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511</v>
      </c>
      <c r="T8" s="46" t="str">
        <f>IF(ISERROR((VLOOKUP(S8,Pitchers!$B$1:H$800,4,FALSE))),"",(VLOOKUP(S8,Pitchers!$B$1:H$800,4,FALSE)))</f>
        <v>MIL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6</v>
      </c>
      <c r="X8" s="47">
        <f>IF(ISERROR((VLOOKUP(S8,Pitchers!B$2:AA$795,11,FALSE))),"",(VLOOKUP(S8,Pitchers!B$2:AA$795,11,FALSE)))</f>
        <v>178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>Y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MPG</v>
      </c>
    </row>
    <row r="9" spans="1:36" ht="12.75">
      <c r="A9" s="6">
        <v>4.07</v>
      </c>
      <c r="B9" s="33"/>
      <c r="C9" s="33" t="s">
        <v>39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557</v>
      </c>
      <c r="T9" s="46" t="str">
        <f>IF(ISERROR((VLOOKUP(S9,Pitchers!$B$1:H$800,4,FALSE))),"",(VLOOKUP(S9,Pitchers!$B$1:H$800,4,FALSE)))</f>
        <v>MIL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109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MPG</v>
      </c>
    </row>
    <row r="10" spans="1:36" ht="12.75">
      <c r="A10" s="6">
        <v>4.08</v>
      </c>
      <c r="B10" s="33"/>
      <c r="C10" s="33" t="s">
        <v>39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560</v>
      </c>
      <c r="T10" s="46" t="str">
        <f>IF(ISERROR((VLOOKUP(S10,Pitchers!$B$1:H$800,4,FALSE))),"",(VLOOKUP(S10,Pitchers!$B$1:H$800,4,FALSE)))</f>
        <v>TEX</v>
      </c>
      <c r="U10" s="45" t="str">
        <f>IF(ISERROR((VLOOKUP(S10,Pitchers!B$2:AA$795,10,FALSE))),"",(VLOOKUP(S10,Pitchers!B$2:AA$795,10,FALSE)))</f>
        <v>L</v>
      </c>
      <c r="V10" s="41"/>
      <c r="W10" s="46">
        <f>IF(ISERROR((VLOOKUP(S10,Pitchers!B$2:AA$795,13,FALSE))),"",(VLOOKUP(S10,Pitchers!B$2:AA$795,13,FALSE)))</f>
        <v>3</v>
      </c>
      <c r="X10" s="47">
        <f>IF(ISERROR((VLOOKUP(S10,Pitchers!B$2:AA$795,11,FALSE))),"",(VLOOKUP(S10,Pitchers!B$2:AA$795,11,FALSE)))</f>
        <v>79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>H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MPG</v>
      </c>
    </row>
    <row r="11" spans="1:36" ht="12.75">
      <c r="A11" s="6">
        <v>4.09</v>
      </c>
      <c r="B11" s="33"/>
      <c r="C11" s="33" t="s">
        <v>39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 t="s">
        <v>1400</v>
      </c>
      <c r="T11" s="46" t="str">
        <f>IF(ISERROR((VLOOKUP(S11,Pitchers!$B$1:H$800,4,FALSE))),"",(VLOOKUP(S11,Pitchers!$B$1:H$800,4,FALSE)))</f>
        <v>TEX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1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>W</v>
      </c>
      <c r="AD11" s="53" t="str">
        <f>IF(ISERROR((VLOOKUP(S11,Pitchers!B$2:AA$795,18,FALSE))),"",(VLOOKUP(S11,Pitchers!B$2:AA$795,18,FALSE)))</f>
        <v xml:space="preserve"> 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MPG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6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49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MPG</v>
      </c>
    </row>
    <row r="14" spans="1:36" ht="12.75">
      <c r="A14" s="6">
        <v>4.12</v>
      </c>
      <c r="B14" s="33"/>
      <c r="C14" s="33" t="s">
        <v>49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MPG</v>
      </c>
    </row>
    <row r="15" spans="1:36" ht="12.75">
      <c r="A15" s="6">
        <v>4.13</v>
      </c>
      <c r="B15" s="33"/>
      <c r="C15" s="33" t="s">
        <v>49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MPG</v>
      </c>
    </row>
    <row r="16" spans="1:36" ht="12.75">
      <c r="A16" s="6">
        <v>4.1399999999999997</v>
      </c>
      <c r="B16" s="33"/>
      <c r="C16" s="33" t="s">
        <v>49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MPG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33" t="s">
        <v>40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MPG</v>
      </c>
    </row>
    <row r="19" spans="1:36" ht="12.75">
      <c r="A19" s="6">
        <v>4.17</v>
      </c>
      <c r="B19" s="33" t="s">
        <v>32</v>
      </c>
      <c r="C19" s="33" t="s">
        <v>40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MPG</v>
      </c>
    </row>
    <row r="20" spans="1:36" ht="12.75">
      <c r="A20" s="6">
        <v>4.18</v>
      </c>
      <c r="B20" s="33" t="s">
        <v>32</v>
      </c>
      <c r="C20" s="33" t="s">
        <v>40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MPG</v>
      </c>
    </row>
    <row r="21" spans="1:36" ht="12.75">
      <c r="A21" s="6">
        <v>4.1900000000000004</v>
      </c>
      <c r="B21" s="33" t="s">
        <v>32</v>
      </c>
      <c r="C21" s="33" t="s">
        <v>40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MPG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12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MPG</v>
      </c>
    </row>
    <row r="24" spans="1:36" ht="12.75">
      <c r="A24" s="6">
        <v>4.22</v>
      </c>
      <c r="B24" s="33"/>
      <c r="C24" s="33" t="s">
        <v>12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MPG</v>
      </c>
    </row>
    <row r="25" spans="1:36" ht="12.75">
      <c r="A25" s="6">
        <v>4.2300000000000004</v>
      </c>
      <c r="B25" s="33"/>
      <c r="C25" s="33" t="s">
        <v>12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MPG</v>
      </c>
    </row>
    <row r="26" spans="1:36" ht="12.75">
      <c r="A26" s="6">
        <v>4.24</v>
      </c>
      <c r="B26" s="33"/>
      <c r="C26" s="33" t="s">
        <v>12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MPG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33" t="s">
        <v>43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MPG</v>
      </c>
    </row>
    <row r="29" spans="1:36" ht="12.75">
      <c r="A29" s="6">
        <v>4.2699999999999996</v>
      </c>
      <c r="B29" s="33" t="s">
        <v>32</v>
      </c>
      <c r="C29" s="33" t="s">
        <v>43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MPG</v>
      </c>
    </row>
    <row r="30" spans="1:36" ht="12.75">
      <c r="A30" s="6">
        <v>4.28</v>
      </c>
      <c r="B30" s="33" t="s">
        <v>32</v>
      </c>
      <c r="C30" s="33" t="s">
        <v>43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MPG</v>
      </c>
    </row>
    <row r="31" spans="1:36" ht="12.75">
      <c r="A31" s="6">
        <v>4.29</v>
      </c>
      <c r="B31" s="33" t="s">
        <v>32</v>
      </c>
      <c r="C31" s="33" t="s">
        <v>43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MPG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2"/>
      <c r="C33" s="33" t="s">
        <v>1919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MPG</v>
      </c>
    </row>
    <row r="34" spans="1:36" ht="12.75">
      <c r="A34" s="6">
        <v>5.0199999999999996</v>
      </c>
      <c r="B34" s="32"/>
      <c r="C34" s="33" t="s">
        <v>1919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MPG</v>
      </c>
    </row>
    <row r="35" spans="1:36" ht="12.75">
      <c r="A35" s="6">
        <v>5.03</v>
      </c>
      <c r="B35" s="32"/>
      <c r="C35" s="33" t="s">
        <v>1919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MPG</v>
      </c>
    </row>
    <row r="36" spans="1:36" ht="12.75">
      <c r="A36" s="6">
        <v>5.04</v>
      </c>
      <c r="B36" s="32"/>
      <c r="C36" s="33" t="s">
        <v>1919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MPG</v>
      </c>
    </row>
    <row r="37" spans="1:36" ht="12.75">
      <c r="A37" s="6">
        <v>5.05</v>
      </c>
      <c r="B37" s="32" t="s">
        <v>32</v>
      </c>
      <c r="C37" s="33" t="s">
        <v>33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MPG</v>
      </c>
    </row>
    <row r="38" spans="1:36" ht="12.75">
      <c r="A38" s="6">
        <v>5.0599999999999996</v>
      </c>
      <c r="B38" s="32" t="s">
        <v>32</v>
      </c>
      <c r="C38" s="33" t="s">
        <v>33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MPG</v>
      </c>
    </row>
    <row r="39" spans="1:36" ht="12.75">
      <c r="A39" s="6">
        <v>5.07</v>
      </c>
      <c r="B39" s="32" t="s">
        <v>32</v>
      </c>
      <c r="C39" s="33" t="s">
        <v>33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MPG</v>
      </c>
    </row>
    <row r="40" spans="1:36" ht="12.75">
      <c r="A40" s="6">
        <v>5.08</v>
      </c>
      <c r="B40" s="32" t="s">
        <v>32</v>
      </c>
      <c r="C40" s="33" t="s">
        <v>33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MPG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2" t="s">
        <v>32</v>
      </c>
      <c r="C42" s="33" t="s">
        <v>41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MPG</v>
      </c>
    </row>
    <row r="43" spans="1:36" ht="12.75">
      <c r="A43" s="6">
        <v>5.1100000000000003</v>
      </c>
      <c r="B43" s="32" t="s">
        <v>32</v>
      </c>
      <c r="C43" s="33" t="s">
        <v>41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MPG</v>
      </c>
    </row>
    <row r="44" spans="1:36" ht="12.75">
      <c r="A44" s="6">
        <v>5.12</v>
      </c>
      <c r="B44" s="32" t="s">
        <v>32</v>
      </c>
      <c r="C44" s="33" t="s">
        <v>41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MPG</v>
      </c>
    </row>
    <row r="45" spans="1:36" ht="12.75">
      <c r="A45" s="6">
        <v>5.13</v>
      </c>
      <c r="B45" s="32" t="s">
        <v>32</v>
      </c>
      <c r="C45" s="33" t="s">
        <v>41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MPG</v>
      </c>
    </row>
    <row r="46" spans="1:36" ht="12.75">
      <c r="A46" s="6">
        <v>5.14</v>
      </c>
      <c r="B46" s="34"/>
      <c r="C46" s="33" t="s">
        <v>34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MPG</v>
      </c>
    </row>
    <row r="47" spans="1:36" ht="12.75">
      <c r="A47" s="6">
        <v>5.15</v>
      </c>
      <c r="B47" s="34"/>
      <c r="C47" s="33" t="s">
        <v>34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MPG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4"/>
      <c r="C49" s="33" t="s">
        <v>34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MPG</v>
      </c>
    </row>
    <row r="50" spans="1:36" ht="12.75">
      <c r="A50" s="6">
        <v>5.18</v>
      </c>
      <c r="B50" s="34"/>
      <c r="C50" s="33" t="s">
        <v>34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MPG</v>
      </c>
    </row>
    <row r="51" spans="1:36" ht="12.75">
      <c r="A51" s="6">
        <v>5.19</v>
      </c>
      <c r="B51" s="32"/>
      <c r="C51" s="33" t="s">
        <v>1917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MPG</v>
      </c>
    </row>
    <row r="52" spans="1:36" ht="12.75">
      <c r="A52" s="6">
        <v>5.2</v>
      </c>
      <c r="B52" s="32"/>
      <c r="C52" s="33" t="s">
        <v>1917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MPG</v>
      </c>
    </row>
    <row r="53" spans="1:36" ht="12.75">
      <c r="A53" s="6">
        <v>5.21</v>
      </c>
      <c r="B53" s="32"/>
      <c r="C53" s="33" t="s">
        <v>1917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MPG</v>
      </c>
    </row>
    <row r="54" spans="1:36" ht="12.75">
      <c r="A54" s="6">
        <v>5.22</v>
      </c>
      <c r="B54" s="32"/>
      <c r="C54" s="33" t="s">
        <v>1917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MPG</v>
      </c>
    </row>
    <row r="55" spans="1:36" ht="12.75">
      <c r="A55" s="6">
        <v>5.23</v>
      </c>
      <c r="B55" s="32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/>
      <c r="C56" s="33" t="s">
        <v>45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MPG</v>
      </c>
    </row>
    <row r="57" spans="1:36" ht="12.75">
      <c r="A57" s="6">
        <v>5.25</v>
      </c>
      <c r="B57" s="33"/>
      <c r="C57" s="33" t="s">
        <v>45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MPG</v>
      </c>
    </row>
    <row r="58" spans="1:36" ht="12.75">
      <c r="A58" s="6">
        <v>5.26</v>
      </c>
      <c r="B58" s="33"/>
      <c r="C58" s="33" t="s">
        <v>45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MPG</v>
      </c>
    </row>
    <row r="59" spans="1:36" ht="12.75">
      <c r="A59" s="6">
        <v>5.27</v>
      </c>
      <c r="B59" s="33"/>
      <c r="C59" s="33" t="s">
        <v>45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MPG</v>
      </c>
    </row>
    <row r="60" spans="1:36" ht="12.75">
      <c r="A60" s="6">
        <v>5.28</v>
      </c>
      <c r="B60" s="33"/>
      <c r="C60" s="33" t="s">
        <v>16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MPG</v>
      </c>
    </row>
    <row r="61" spans="1:36" ht="12.75">
      <c r="A61" s="6">
        <v>5.29</v>
      </c>
      <c r="B61" s="33"/>
      <c r="C61" s="33" t="s">
        <v>16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MPG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/>
      <c r="C63" s="33" t="s">
        <v>16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MPG</v>
      </c>
    </row>
    <row r="64" spans="1:36" ht="12.75">
      <c r="A64" s="6">
        <v>6.01</v>
      </c>
      <c r="B64" s="32" t="s">
        <v>32</v>
      </c>
      <c r="C64" s="33" t="s">
        <v>47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MPG</v>
      </c>
    </row>
    <row r="65" spans="1:36" ht="12.75">
      <c r="A65" s="6">
        <v>6.02</v>
      </c>
      <c r="B65" s="32" t="s">
        <v>32</v>
      </c>
      <c r="C65" s="33" t="s">
        <v>47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MPG</v>
      </c>
    </row>
    <row r="66" spans="1:36" ht="12.75">
      <c r="A66" s="6">
        <v>6.03</v>
      </c>
      <c r="B66" s="32" t="s">
        <v>32</v>
      </c>
      <c r="C66" s="33" t="s">
        <v>47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MPG</v>
      </c>
    </row>
    <row r="67" spans="1:36" ht="12.75">
      <c r="A67" s="6">
        <v>6.04</v>
      </c>
      <c r="B67" s="32" t="s">
        <v>32</v>
      </c>
      <c r="C67" s="33" t="s">
        <v>47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MPG</v>
      </c>
    </row>
    <row r="68" spans="1:36" ht="12.75">
      <c r="A68" s="6">
        <v>6.05</v>
      </c>
      <c r="B68" s="33"/>
      <c r="C68" s="33" t="s">
        <v>55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MPG</v>
      </c>
    </row>
    <row r="69" spans="1:36" ht="12.75">
      <c r="A69" s="6">
        <v>6.06</v>
      </c>
      <c r="B69" s="33"/>
      <c r="C69" s="33" t="s">
        <v>55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MPG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/>
      <c r="C71" s="33" t="s">
        <v>55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MPG</v>
      </c>
    </row>
    <row r="72" spans="1:36" ht="12.75">
      <c r="A72" s="6">
        <v>6.09</v>
      </c>
      <c r="B72" s="33"/>
      <c r="C72" s="33" t="s">
        <v>55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MPG</v>
      </c>
    </row>
    <row r="73" spans="1:36" ht="12.75">
      <c r="A73" s="6">
        <v>6.1</v>
      </c>
      <c r="B73" s="33"/>
      <c r="C73" s="33" t="s">
        <v>46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MPG</v>
      </c>
    </row>
    <row r="74" spans="1:36" ht="12.75">
      <c r="A74" s="6">
        <v>6.11</v>
      </c>
      <c r="B74" s="33"/>
      <c r="C74" s="33" t="s">
        <v>46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MPG</v>
      </c>
    </row>
    <row r="75" spans="1:36" ht="12.75">
      <c r="A75" s="6">
        <v>6.12</v>
      </c>
      <c r="B75" s="33"/>
      <c r="C75" s="33" t="s">
        <v>46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MPG</v>
      </c>
    </row>
    <row r="76" spans="1:36" ht="12.75">
      <c r="A76" s="6">
        <v>6.13</v>
      </c>
      <c r="B76" s="33"/>
      <c r="C76" s="33" t="s">
        <v>46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MPG</v>
      </c>
    </row>
    <row r="77" spans="1:36" ht="12.75">
      <c r="A77" s="6">
        <v>6.14</v>
      </c>
      <c r="B77" s="32" t="s">
        <v>32</v>
      </c>
      <c r="C77" s="33" t="s">
        <v>14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MPG</v>
      </c>
    </row>
    <row r="78" spans="1:36" ht="12.75">
      <c r="A78" s="6">
        <v>6.15</v>
      </c>
      <c r="B78" s="32" t="s">
        <v>32</v>
      </c>
      <c r="C78" s="33" t="s">
        <v>14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MPG</v>
      </c>
    </row>
    <row r="79" spans="1:36" ht="12.75">
      <c r="A79" s="6">
        <v>6.16</v>
      </c>
      <c r="B79" s="32" t="s">
        <v>32</v>
      </c>
      <c r="C79" s="33" t="s">
        <v>14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MPG</v>
      </c>
    </row>
    <row r="80" spans="1:36" ht="12.75">
      <c r="A80" s="6">
        <v>6.17</v>
      </c>
      <c r="B80" s="32" t="s">
        <v>32</v>
      </c>
      <c r="C80" s="33" t="s">
        <v>14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MPG</v>
      </c>
    </row>
    <row r="81" spans="1:36" ht="12.75">
      <c r="A81" s="6">
        <v>6.18</v>
      </c>
      <c r="B81" s="33"/>
      <c r="C81" s="33" t="s">
        <v>13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MPG</v>
      </c>
    </row>
    <row r="82" spans="1:36" ht="12.75">
      <c r="A82" s="6">
        <v>6.19</v>
      </c>
      <c r="B82" s="33"/>
      <c r="C82" s="33" t="s">
        <v>13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MPG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/>
      <c r="C84" s="33" t="s">
        <v>13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MPG</v>
      </c>
    </row>
    <row r="85" spans="1:36" ht="12.75">
      <c r="A85" s="6">
        <v>6.22</v>
      </c>
      <c r="B85" s="33"/>
      <c r="C85" s="33" t="s">
        <v>13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MPG</v>
      </c>
    </row>
    <row r="86" spans="1:36" ht="12.75">
      <c r="A86" s="6">
        <v>6.23</v>
      </c>
      <c r="B86" s="33"/>
      <c r="C86" s="33" t="s">
        <v>42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MPG</v>
      </c>
    </row>
    <row r="87" spans="1:36" ht="12.75">
      <c r="A87" s="6">
        <v>6.24</v>
      </c>
      <c r="B87" s="33"/>
      <c r="C87" s="33" t="s">
        <v>42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MPG</v>
      </c>
    </row>
    <row r="88" spans="1:36" ht="12.75">
      <c r="A88" s="6">
        <v>6.25</v>
      </c>
      <c r="B88" s="33"/>
      <c r="C88" s="33" t="s">
        <v>42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MPG</v>
      </c>
    </row>
    <row r="89" spans="1:36" ht="12.75">
      <c r="A89" s="6">
        <v>6.26</v>
      </c>
      <c r="B89" s="33"/>
      <c r="C89" s="33" t="s">
        <v>42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MPG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2.75">
      <c r="A91" s="6">
        <v>6.28</v>
      </c>
      <c r="B91" s="33"/>
      <c r="C91" s="33" t="s">
        <v>17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MPG</v>
      </c>
    </row>
    <row r="92" spans="1:36" ht="12.75">
      <c r="A92" s="6">
        <v>6.29</v>
      </c>
      <c r="B92" s="33"/>
      <c r="C92" s="33" t="s">
        <v>17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MPG</v>
      </c>
    </row>
    <row r="93" spans="1:36" ht="12.75">
      <c r="A93" s="6">
        <v>6.3</v>
      </c>
      <c r="B93" s="33"/>
      <c r="C93" s="33" t="s">
        <v>17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MPG</v>
      </c>
    </row>
    <row r="94" spans="1:36" ht="12.75">
      <c r="A94" s="6">
        <v>7.01</v>
      </c>
      <c r="B94" s="33"/>
      <c r="C94" s="33" t="s">
        <v>15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MPG</v>
      </c>
    </row>
    <row r="95" spans="1:36" ht="12.75">
      <c r="A95" s="6">
        <v>7.02</v>
      </c>
      <c r="B95" s="33"/>
      <c r="C95" s="33" t="s">
        <v>15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MPG</v>
      </c>
    </row>
    <row r="96" spans="1:36" ht="12.75">
      <c r="A96" s="6">
        <v>7.03</v>
      </c>
      <c r="B96" s="33"/>
      <c r="C96" s="33" t="s">
        <v>15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MPG</v>
      </c>
    </row>
    <row r="97" spans="1:36" ht="12.75">
      <c r="A97" s="6">
        <v>7.04</v>
      </c>
      <c r="B97" s="33" t="s">
        <v>32</v>
      </c>
      <c r="C97" s="33" t="s">
        <v>52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MPG</v>
      </c>
    </row>
    <row r="98" spans="1:36" ht="12.75">
      <c r="A98" s="6">
        <v>7.05</v>
      </c>
      <c r="B98" s="33" t="s">
        <v>32</v>
      </c>
      <c r="C98" s="33" t="s">
        <v>52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MPG</v>
      </c>
    </row>
    <row r="99" spans="1:36" ht="12.75">
      <c r="A99" s="6">
        <v>7.06</v>
      </c>
      <c r="B99" s="33" t="s">
        <v>32</v>
      </c>
      <c r="C99" s="33" t="s">
        <v>52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MPG</v>
      </c>
    </row>
    <row r="100" spans="1:36" ht="12.75">
      <c r="A100" s="6">
        <v>7.07</v>
      </c>
      <c r="B100" s="33" t="s">
        <v>32</v>
      </c>
      <c r="C100" s="33" t="s">
        <v>54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MPG</v>
      </c>
    </row>
    <row r="101" spans="1:36" ht="12.75">
      <c r="A101" s="6">
        <v>7.08</v>
      </c>
      <c r="B101" s="33" t="s">
        <v>32</v>
      </c>
      <c r="C101" s="33" t="s">
        <v>54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MPG</v>
      </c>
    </row>
    <row r="102" spans="1:36" ht="12.75">
      <c r="A102" s="6">
        <v>7.09</v>
      </c>
      <c r="B102" s="33" t="s">
        <v>32</v>
      </c>
      <c r="C102" s="33" t="s">
        <v>54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MPG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1191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MPG</v>
      </c>
    </row>
    <row r="107" spans="1:36" ht="12.75">
      <c r="A107" s="6">
        <v>7.14</v>
      </c>
      <c r="B107" s="33"/>
      <c r="C107" s="33" t="s">
        <v>1191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MPG</v>
      </c>
    </row>
    <row r="108" spans="1:36" ht="12.75">
      <c r="A108" s="6">
        <v>7.15</v>
      </c>
      <c r="B108" s="33"/>
      <c r="C108" s="33" t="s">
        <v>1191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MPG</v>
      </c>
    </row>
    <row r="109" spans="1:36" ht="12.75">
      <c r="A109" s="6">
        <v>7.16</v>
      </c>
      <c r="B109" s="33"/>
      <c r="C109" s="33" t="s">
        <v>35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MPG</v>
      </c>
    </row>
    <row r="110" spans="1:36" ht="12.75">
      <c r="A110" s="6">
        <v>7.17</v>
      </c>
      <c r="B110" s="33"/>
      <c r="C110" s="33" t="s">
        <v>35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MPG</v>
      </c>
    </row>
    <row r="111" spans="1:36" ht="12.75">
      <c r="A111" s="6">
        <v>7.18</v>
      </c>
      <c r="B111" s="33"/>
      <c r="C111" s="33" t="s">
        <v>35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MPG</v>
      </c>
    </row>
    <row r="112" spans="1:36" ht="12.75">
      <c r="A112" s="6">
        <v>7.19</v>
      </c>
      <c r="B112" s="33" t="s">
        <v>32</v>
      </c>
      <c r="C112" s="33" t="s">
        <v>51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MPG</v>
      </c>
    </row>
    <row r="113" spans="1:36" ht="12.75">
      <c r="A113" s="6">
        <v>7.2</v>
      </c>
      <c r="B113" s="33" t="s">
        <v>32</v>
      </c>
      <c r="C113" s="33" t="s">
        <v>51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MPG</v>
      </c>
    </row>
    <row r="114" spans="1:36" ht="12.75">
      <c r="A114" s="6">
        <v>7.21</v>
      </c>
      <c r="B114" s="33" t="s">
        <v>32</v>
      </c>
      <c r="C114" s="33" t="s">
        <v>51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MPG</v>
      </c>
    </row>
    <row r="115" spans="1:36" ht="12.75">
      <c r="A115" s="6">
        <v>7.22</v>
      </c>
      <c r="B115" s="33" t="s">
        <v>32</v>
      </c>
      <c r="C115" s="33" t="s">
        <v>51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MPG</v>
      </c>
    </row>
    <row r="116" spans="1:36" ht="12.75">
      <c r="A116" s="6">
        <v>7.23</v>
      </c>
      <c r="B116" s="33"/>
      <c r="C116" s="33" t="s">
        <v>44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MPG</v>
      </c>
    </row>
    <row r="117" spans="1:36" ht="12.75">
      <c r="A117" s="6">
        <v>7.24</v>
      </c>
      <c r="B117" s="33"/>
      <c r="C117" s="33" t="s">
        <v>44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MPG</v>
      </c>
    </row>
    <row r="118" spans="1:36" ht="12.75">
      <c r="A118" s="6">
        <v>7.25</v>
      </c>
      <c r="B118" s="33"/>
      <c r="C118" s="33" t="s">
        <v>44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MPG</v>
      </c>
    </row>
    <row r="119" spans="1:36" ht="12.75">
      <c r="A119" s="6">
        <v>7.26</v>
      </c>
      <c r="B119" s="33"/>
      <c r="C119" s="33" t="s">
        <v>44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MPG</v>
      </c>
    </row>
    <row r="120" spans="1:36" ht="15">
      <c r="A120" s="6">
        <v>7.27</v>
      </c>
      <c r="B120" s="32" t="s">
        <v>32</v>
      </c>
      <c r="C120" s="36" t="s">
        <v>1918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MPG</v>
      </c>
    </row>
    <row r="121" spans="1:36" ht="15">
      <c r="A121" s="6">
        <v>7.28</v>
      </c>
      <c r="B121" s="32" t="s">
        <v>32</v>
      </c>
      <c r="C121" s="36" t="s">
        <v>1918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MPG</v>
      </c>
    </row>
    <row r="122" spans="1:36" ht="15">
      <c r="A122" s="6">
        <v>7.29</v>
      </c>
      <c r="B122" s="32" t="s">
        <v>32</v>
      </c>
      <c r="C122" s="36" t="s">
        <v>1918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MPG</v>
      </c>
    </row>
    <row r="123" spans="1:36" ht="15">
      <c r="A123" s="6">
        <v>7.3</v>
      </c>
      <c r="B123" s="32" t="s">
        <v>32</v>
      </c>
      <c r="C123" s="36" t="s">
        <v>1918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MPG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2" t="s">
        <v>32</v>
      </c>
      <c r="C125" s="33" t="s">
        <v>48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MPG</v>
      </c>
    </row>
    <row r="126" spans="1:36" ht="12.75">
      <c r="A126" s="6">
        <v>8.02</v>
      </c>
      <c r="B126" s="32" t="s">
        <v>32</v>
      </c>
      <c r="C126" s="33" t="s">
        <v>48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MPG</v>
      </c>
    </row>
    <row r="127" spans="1:36" ht="12.75">
      <c r="A127" s="6">
        <v>8.0299999999999994</v>
      </c>
      <c r="B127" s="32" t="s">
        <v>32</v>
      </c>
      <c r="C127" s="33" t="s">
        <v>48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MPG</v>
      </c>
    </row>
    <row r="128" spans="1:36" ht="12.75">
      <c r="A128" s="6">
        <v>8.0399999999999991</v>
      </c>
      <c r="B128" s="32" t="s">
        <v>32</v>
      </c>
      <c r="C128" s="33" t="s">
        <v>48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MPG</v>
      </c>
    </row>
    <row r="129" spans="1:36" ht="12.75">
      <c r="A129" s="6">
        <v>8.0500000000000007</v>
      </c>
      <c r="B129" s="32" t="s">
        <v>32</v>
      </c>
      <c r="C129" s="33" t="s">
        <v>15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MPG</v>
      </c>
    </row>
    <row r="130" spans="1:36" ht="12.75">
      <c r="A130" s="6">
        <v>8.06</v>
      </c>
      <c r="B130" s="32" t="s">
        <v>32</v>
      </c>
      <c r="C130" s="33" t="s">
        <v>15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MPG</v>
      </c>
    </row>
    <row r="131" spans="1:36" ht="12.75">
      <c r="A131" s="6">
        <v>8.07</v>
      </c>
      <c r="B131" s="32" t="s">
        <v>32</v>
      </c>
      <c r="C131" s="33" t="s">
        <v>15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MPG</v>
      </c>
    </row>
    <row r="132" spans="1:36" ht="12.75">
      <c r="A132" s="6">
        <v>8.08</v>
      </c>
      <c r="B132" s="32" t="s">
        <v>32</v>
      </c>
      <c r="C132" s="33" t="s">
        <v>15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MPG</v>
      </c>
    </row>
    <row r="133" spans="1:36" ht="12.75">
      <c r="A133" s="6">
        <v>8.09</v>
      </c>
      <c r="B133" s="32" t="s">
        <v>32</v>
      </c>
      <c r="C133" s="33" t="s">
        <v>35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MPG</v>
      </c>
    </row>
    <row r="134" spans="1:36" ht="12.75">
      <c r="A134" s="6">
        <v>8.1</v>
      </c>
      <c r="B134" s="32" t="s">
        <v>32</v>
      </c>
      <c r="C134" s="33" t="s">
        <v>35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MPG</v>
      </c>
    </row>
    <row r="135" spans="1:36" ht="12.75">
      <c r="A135" s="6">
        <v>8.11</v>
      </c>
      <c r="B135" s="32" t="s">
        <v>32</v>
      </c>
      <c r="C135" s="33" t="s">
        <v>35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MPG</v>
      </c>
    </row>
    <row r="136" spans="1:36" ht="12.75">
      <c r="A136" s="6">
        <v>8.1199999999999992</v>
      </c>
      <c r="B136" s="32" t="s">
        <v>32</v>
      </c>
      <c r="C136" s="33" t="s">
        <v>35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MPG</v>
      </c>
    </row>
    <row r="137" spans="1:36" ht="12.75">
      <c r="A137" s="6">
        <v>8.1300000000000008</v>
      </c>
      <c r="B137" s="32" t="s">
        <v>32</v>
      </c>
      <c r="C137" s="33" t="s">
        <v>17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MPG</v>
      </c>
    </row>
    <row r="138" spans="1:36" ht="12.75">
      <c r="A138" s="6">
        <v>8.14</v>
      </c>
      <c r="B138" s="32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2" t="s">
        <v>32</v>
      </c>
      <c r="C139" s="33" t="s">
        <v>17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MPG</v>
      </c>
    </row>
    <row r="140" spans="1:36" ht="12.75">
      <c r="A140" s="6">
        <v>8.16</v>
      </c>
      <c r="B140" s="32" t="s">
        <v>32</v>
      </c>
      <c r="C140" s="33" t="s">
        <v>17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MPG</v>
      </c>
    </row>
    <row r="141" spans="1:36" ht="12.75">
      <c r="A141" s="6">
        <v>8.17</v>
      </c>
      <c r="B141" s="32" t="s">
        <v>32</v>
      </c>
      <c r="C141" s="33" t="s">
        <v>17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MPG</v>
      </c>
    </row>
    <row r="142" spans="1:36" ht="12.75">
      <c r="A142" s="6">
        <v>8.18</v>
      </c>
      <c r="B142" s="32" t="s">
        <v>32</v>
      </c>
      <c r="C142" s="33" t="s">
        <v>1919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MPG</v>
      </c>
    </row>
    <row r="143" spans="1:36" ht="12.75">
      <c r="A143" s="6">
        <v>8.19</v>
      </c>
      <c r="B143" s="32" t="s">
        <v>32</v>
      </c>
      <c r="C143" s="33" t="s">
        <v>1919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MPG</v>
      </c>
    </row>
    <row r="144" spans="1:36" ht="12.75">
      <c r="A144" s="6">
        <v>8.1999999999999993</v>
      </c>
      <c r="B144" s="32" t="s">
        <v>32</v>
      </c>
      <c r="C144" s="33" t="s">
        <v>1919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MPG</v>
      </c>
    </row>
    <row r="145" spans="1:36" ht="12.75">
      <c r="A145" s="6">
        <v>8.2100000000000009</v>
      </c>
      <c r="B145" s="32" t="s">
        <v>32</v>
      </c>
      <c r="C145" s="33" t="s">
        <v>1191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MPG</v>
      </c>
    </row>
    <row r="146" spans="1:36" ht="12.75">
      <c r="A146" s="6">
        <v>8.2200000000000006</v>
      </c>
      <c r="B146" s="32" t="s">
        <v>32</v>
      </c>
      <c r="C146" s="33" t="s">
        <v>1191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MPG</v>
      </c>
    </row>
    <row r="147" spans="1:36" ht="12.75">
      <c r="A147" s="6">
        <v>8.23</v>
      </c>
      <c r="B147" s="32" t="s">
        <v>32</v>
      </c>
      <c r="C147" s="33" t="s">
        <v>1191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MPG</v>
      </c>
    </row>
    <row r="148" spans="1:36" ht="12.75">
      <c r="A148" s="6">
        <v>8.24</v>
      </c>
      <c r="B148" s="32" t="s">
        <v>32</v>
      </c>
      <c r="C148" s="33" t="s">
        <v>1191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MPG</v>
      </c>
    </row>
    <row r="149" spans="1:36" ht="12.75">
      <c r="A149" s="6">
        <v>8.25</v>
      </c>
      <c r="B149" s="33"/>
      <c r="C149" s="33" t="s">
        <v>52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MPG</v>
      </c>
    </row>
    <row r="150" spans="1:36" ht="12.75">
      <c r="A150" s="6">
        <v>8.26</v>
      </c>
      <c r="B150" s="33"/>
      <c r="C150" s="33" t="s">
        <v>52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MPG</v>
      </c>
    </row>
    <row r="151" spans="1:36" ht="12.75">
      <c r="A151" s="6">
        <v>8.27</v>
      </c>
      <c r="B151" s="33"/>
      <c r="C151" s="33" t="s">
        <v>52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MPG</v>
      </c>
    </row>
    <row r="152" spans="1:36" ht="12.75">
      <c r="A152" s="6">
        <v>8.2799999999999994</v>
      </c>
      <c r="B152" s="33"/>
      <c r="C152" s="33" t="s">
        <v>52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MPG</v>
      </c>
    </row>
    <row r="153" spans="1:36" ht="12.75">
      <c r="A153" s="6">
        <v>8.2899999999999991</v>
      </c>
      <c r="B153" s="33"/>
      <c r="C153" s="33" t="s">
        <v>33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MPG</v>
      </c>
    </row>
    <row r="154" spans="1:36" ht="12.75">
      <c r="A154" s="6">
        <v>8.3000000000000007</v>
      </c>
      <c r="B154" s="33"/>
      <c r="C154" s="33" t="s">
        <v>33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MPG</v>
      </c>
    </row>
    <row r="155" spans="1:36" ht="12.75">
      <c r="A155" s="6">
        <v>8.31</v>
      </c>
      <c r="B155" s="33"/>
      <c r="C155" s="33" t="s">
        <v>33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MPG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2" t="s">
        <v>32</v>
      </c>
      <c r="C157" s="33" t="s">
        <v>1917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MPG</v>
      </c>
    </row>
    <row r="158" spans="1:36" ht="12.75">
      <c r="A158" s="6">
        <v>9.0299999999999994</v>
      </c>
      <c r="B158" s="32" t="s">
        <v>32</v>
      </c>
      <c r="C158" s="33" t="s">
        <v>1917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MPG</v>
      </c>
    </row>
    <row r="159" spans="1:36" ht="12.75">
      <c r="A159" s="6">
        <v>9.0399999999999991</v>
      </c>
      <c r="B159" s="32" t="s">
        <v>32</v>
      </c>
      <c r="C159" s="33" t="s">
        <v>1917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MPG</v>
      </c>
    </row>
    <row r="160" spans="1:36" ht="12.75">
      <c r="A160" s="6">
        <v>9.0500000000000007</v>
      </c>
      <c r="B160" s="32" t="s">
        <v>32</v>
      </c>
      <c r="C160" s="33" t="s">
        <v>55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MPG</v>
      </c>
    </row>
    <row r="161" spans="1:36" ht="12.75">
      <c r="A161" s="6">
        <v>9.06</v>
      </c>
      <c r="B161" s="32" t="s">
        <v>32</v>
      </c>
      <c r="C161" s="33" t="s">
        <v>55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MPG</v>
      </c>
    </row>
    <row r="162" spans="1:36" ht="12.75">
      <c r="A162" s="6">
        <v>9.07</v>
      </c>
      <c r="B162" s="32" t="s">
        <v>32</v>
      </c>
      <c r="C162" s="33" t="s">
        <v>55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MPG</v>
      </c>
    </row>
    <row r="163" spans="1:36" ht="12.75">
      <c r="A163" s="6">
        <v>9.08</v>
      </c>
      <c r="B163" s="32" t="s">
        <v>32</v>
      </c>
      <c r="C163" s="33" t="s">
        <v>40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MPG</v>
      </c>
    </row>
    <row r="164" spans="1:36" ht="12.75">
      <c r="A164" s="6">
        <v>9.09</v>
      </c>
      <c r="B164" s="32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2" t="s">
        <v>32</v>
      </c>
      <c r="C165" s="33" t="s">
        <v>40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MPG</v>
      </c>
    </row>
    <row r="166" spans="1:36" ht="12.75">
      <c r="A166" s="6">
        <v>9.11</v>
      </c>
      <c r="B166" s="32" t="s">
        <v>32</v>
      </c>
      <c r="C166" s="33" t="s">
        <v>40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MPG</v>
      </c>
    </row>
    <row r="167" spans="1:36" ht="12.75">
      <c r="A167" s="6">
        <v>9.1199999999999992</v>
      </c>
      <c r="B167" s="33" t="s">
        <v>32</v>
      </c>
      <c r="C167" s="33" t="s">
        <v>16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MPG</v>
      </c>
    </row>
    <row r="168" spans="1:36" ht="12.75">
      <c r="A168" s="6">
        <v>9.1300000000000008</v>
      </c>
      <c r="B168" s="33" t="s">
        <v>32</v>
      </c>
      <c r="C168" s="33" t="s">
        <v>16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MPG</v>
      </c>
    </row>
    <row r="169" spans="1:36" ht="12.75">
      <c r="A169" s="6">
        <v>9.14</v>
      </c>
      <c r="B169" s="33" t="s">
        <v>32</v>
      </c>
      <c r="C169" s="33" t="s">
        <v>16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MPG</v>
      </c>
    </row>
    <row r="170" spans="1:36" ht="12.75">
      <c r="A170" s="6">
        <v>9.15</v>
      </c>
      <c r="B170" s="33" t="s">
        <v>32</v>
      </c>
      <c r="C170" s="33" t="s">
        <v>16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MPG</v>
      </c>
    </row>
    <row r="171" spans="1:36" ht="12.75">
      <c r="A171" s="6">
        <v>9.16</v>
      </c>
      <c r="B171" s="33"/>
      <c r="C171" s="33" t="s">
        <v>48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MPG</v>
      </c>
    </row>
    <row r="172" spans="1:36" ht="12.75">
      <c r="A172" s="6">
        <v>9.17</v>
      </c>
      <c r="B172" s="33"/>
      <c r="C172" s="33" t="s">
        <v>48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MPG</v>
      </c>
    </row>
    <row r="173" spans="1:36" ht="12.75">
      <c r="A173" s="6">
        <v>9.18</v>
      </c>
      <c r="B173" s="33"/>
      <c r="C173" s="33" t="s">
        <v>48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MPG</v>
      </c>
    </row>
    <row r="174" spans="1:36" ht="12.75">
      <c r="A174" s="6">
        <v>9.19</v>
      </c>
      <c r="B174" s="33"/>
      <c r="C174" s="33" t="s">
        <v>54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MPG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54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MPG</v>
      </c>
    </row>
    <row r="177" spans="1:36" ht="12.75">
      <c r="A177" s="6">
        <v>9.2200000000000006</v>
      </c>
      <c r="B177" s="33"/>
      <c r="C177" s="33" t="s">
        <v>54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MPG</v>
      </c>
    </row>
    <row r="178" spans="1:36" ht="12.75">
      <c r="A178" s="6">
        <v>9.23</v>
      </c>
      <c r="B178" s="33"/>
      <c r="C178" s="33" t="s">
        <v>54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MPG</v>
      </c>
    </row>
    <row r="179" spans="1:36" ht="12.75">
      <c r="A179" s="6">
        <v>9.24</v>
      </c>
      <c r="B179" s="32" t="s">
        <v>32</v>
      </c>
      <c r="C179" s="33" t="s">
        <v>56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MPG</v>
      </c>
    </row>
    <row r="180" spans="1:36" ht="12.75">
      <c r="A180" s="6">
        <v>9.25</v>
      </c>
      <c r="B180" s="32" t="s">
        <v>32</v>
      </c>
      <c r="C180" s="33" t="s">
        <v>56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MPG</v>
      </c>
    </row>
    <row r="181" spans="1:36" ht="12.75">
      <c r="A181" s="6">
        <v>9.26</v>
      </c>
      <c r="B181" s="32" t="s">
        <v>32</v>
      </c>
      <c r="C181" s="33" t="s">
        <v>56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MPG</v>
      </c>
    </row>
    <row r="182" spans="1:36" ht="12.75">
      <c r="A182" s="6">
        <v>9.27</v>
      </c>
      <c r="B182" s="33" t="s">
        <v>32</v>
      </c>
      <c r="C182" s="33" t="s">
        <v>42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MPG</v>
      </c>
    </row>
    <row r="183" spans="1:36" ht="12.75">
      <c r="A183" s="6">
        <v>9.2799999999999994</v>
      </c>
      <c r="B183" s="33" t="s">
        <v>32</v>
      </c>
      <c r="C183" s="33" t="s">
        <v>42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MPG</v>
      </c>
    </row>
    <row r="184" spans="1:36" ht="12.75">
      <c r="A184" s="6">
        <v>9.2899999999999991</v>
      </c>
      <c r="B184" s="33" t="s">
        <v>32</v>
      </c>
      <c r="C184" s="33" t="s">
        <v>42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MPG</v>
      </c>
    </row>
    <row r="185" spans="1:36" ht="12.75">
      <c r="A185" s="6">
        <v>9.3000000000000007</v>
      </c>
      <c r="B185" s="33" t="s">
        <v>32</v>
      </c>
      <c r="C185" s="33" t="s">
        <v>42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MPG</v>
      </c>
    </row>
    <row r="186" spans="1:36">
      <c r="C186" s="11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11"/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11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11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11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11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11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11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11"/>
      <c r="K194" s="2"/>
      <c r="AJ194" s="2"/>
    </row>
    <row r="195" spans="3:36">
      <c r="C195" s="11"/>
      <c r="K195" s="2"/>
      <c r="AJ195" s="2"/>
    </row>
    <row r="196" spans="3:36">
      <c r="C196" s="11"/>
      <c r="K196" s="2"/>
      <c r="AJ196" s="2"/>
    </row>
    <row r="197" spans="3:36">
      <c r="C197" s="11"/>
      <c r="K197" s="2"/>
      <c r="AJ197" s="2"/>
    </row>
    <row r="198" spans="3:36">
      <c r="C198" s="11"/>
      <c r="K198" s="2"/>
      <c r="AJ198" s="2"/>
    </row>
    <row r="199" spans="3:36">
      <c r="C199" s="11"/>
      <c r="K199" s="2"/>
      <c r="AJ199" s="2"/>
    </row>
    <row r="200" spans="3:36">
      <c r="C200" s="11"/>
      <c r="K200" s="2"/>
      <c r="AJ200" s="2"/>
    </row>
    <row r="201" spans="3:36">
      <c r="C201" s="11"/>
      <c r="K201" s="2"/>
      <c r="AJ201" s="2"/>
    </row>
    <row r="202" spans="3:36">
      <c r="C202" s="11"/>
      <c r="K202" s="2"/>
      <c r="AJ202" s="2"/>
    </row>
    <row r="203" spans="3:36">
      <c r="C203" s="11"/>
      <c r="K203" s="2"/>
      <c r="AJ203" s="2"/>
    </row>
    <row r="204" spans="3:36">
      <c r="C204" s="11"/>
      <c r="AJ204" s="2"/>
    </row>
    <row r="205" spans="3:36">
      <c r="C205" s="11"/>
      <c r="AJ205" s="2"/>
    </row>
    <row r="206" spans="3:36">
      <c r="C206" s="11"/>
      <c r="AJ206" s="2"/>
    </row>
    <row r="207" spans="3:36">
      <c r="C207" s="11"/>
      <c r="AJ207" s="2"/>
    </row>
    <row r="208" spans="3:36">
      <c r="C208" s="11"/>
      <c r="AJ208" s="2"/>
    </row>
    <row r="209" spans="3:36">
      <c r="C209" s="11"/>
      <c r="AJ209" s="2"/>
    </row>
    <row r="210" spans="3:36">
      <c r="C210" s="11"/>
      <c r="AJ210" s="2"/>
    </row>
    <row r="211" spans="3:36">
      <c r="C211" s="11"/>
      <c r="AJ211" s="2"/>
    </row>
    <row r="212" spans="3:36">
      <c r="C212" s="11"/>
      <c r="AJ212" s="2"/>
    </row>
    <row r="213" spans="3:36">
      <c r="C213" s="11"/>
      <c r="AJ213" s="2"/>
    </row>
    <row r="214" spans="3:36">
      <c r="C214" s="11"/>
      <c r="AJ214" s="2"/>
    </row>
    <row r="215" spans="3:36">
      <c r="C215" s="11"/>
      <c r="AJ215" s="2"/>
    </row>
    <row r="216" spans="3:36">
      <c r="C216" s="11"/>
      <c r="AJ216" s="2"/>
    </row>
    <row r="217" spans="3:36">
      <c r="C217" s="11"/>
      <c r="AJ217" s="2"/>
    </row>
  </sheetData>
  <phoneticPr fontId="0" type="noConversion"/>
  <conditionalFormatting sqref="AK3:AK22">
    <cfRule type="cellIs" dxfId="3863" priority="760" stopIfTrue="1" operator="equal">
      <formula>"must average at least 5 innings per start"</formula>
    </cfRule>
  </conditionalFormatting>
  <conditionalFormatting sqref="AK23">
    <cfRule type="cellIs" dxfId="3862" priority="761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61" priority="762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3860" priority="763" stopIfTrue="1" operator="equal">
      <formula>"input a different starter in column C"</formula>
    </cfRule>
  </conditionalFormatting>
  <conditionalFormatting sqref="AH3:AH22">
    <cfRule type="cellIs" dxfId="3859" priority="340" stopIfTrue="1" operator="equal">
      <formula>"must average at least 5 innings per start"</formula>
    </cfRule>
  </conditionalFormatting>
  <conditionalFormatting sqref="AH23">
    <cfRule type="cellIs" dxfId="3858" priority="339" stopIfTrue="1" operator="equal">
      <formula>"must have 162 starts"</formula>
    </cfRule>
  </conditionalFormatting>
  <conditionalFormatting sqref="AG3:AG22">
    <cfRule type="cellIs" dxfId="3857" priority="338" stopIfTrue="1" operator="equal">
      <formula>"must average at least 5 innings per start"</formula>
    </cfRule>
  </conditionalFormatting>
  <conditionalFormatting sqref="AG23">
    <cfRule type="cellIs" dxfId="3856" priority="337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55" priority="33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54" priority="33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53" priority="33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52" priority="33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51" priority="33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50" priority="33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9" priority="33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8" priority="32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7" priority="32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6" priority="32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5" priority="32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4" priority="32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3" priority="32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2" priority="32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1" priority="32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40" priority="32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839" priority="320" stopIfTrue="1" operator="equal">
      <formula>"input starter in column C"</formula>
    </cfRule>
  </conditionalFormatting>
  <conditionalFormatting sqref="P3">
    <cfRule type="cellIs" dxfId="3838" priority="319" stopIfTrue="1" operator="equal">
      <formula>"input starter in column D"</formula>
    </cfRule>
  </conditionalFormatting>
  <conditionalFormatting sqref="P4">
    <cfRule type="cellIs" dxfId="3837" priority="318" stopIfTrue="1" operator="equal">
      <formula>"input starter in column D"</formula>
    </cfRule>
  </conditionalFormatting>
  <conditionalFormatting sqref="P5">
    <cfRule type="cellIs" dxfId="3836" priority="317" stopIfTrue="1" operator="equal">
      <formula>"INPUT STARTER IN COLUMN D"</formula>
    </cfRule>
  </conditionalFormatting>
  <conditionalFormatting sqref="P6">
    <cfRule type="cellIs" dxfId="3835" priority="316" stopIfTrue="1" operator="equal">
      <formula>"INPUT STARTER IN COLUMN D"</formula>
    </cfRule>
  </conditionalFormatting>
  <conditionalFormatting sqref="P8">
    <cfRule type="cellIs" dxfId="3834" priority="315" stopIfTrue="1" operator="equal">
      <formula>"INPUT STARTER IN COLUMN D"</formula>
    </cfRule>
  </conditionalFormatting>
  <conditionalFormatting sqref="P9">
    <cfRule type="cellIs" dxfId="3833" priority="314" stopIfTrue="1" operator="equal">
      <formula>"INPUT STARTER IN COLUMN D"</formula>
    </cfRule>
  </conditionalFormatting>
  <conditionalFormatting sqref="P10">
    <cfRule type="cellIs" dxfId="3832" priority="313" stopIfTrue="1" operator="equal">
      <formula>"INPUT STARTER IN COLUMN D"</formula>
    </cfRule>
  </conditionalFormatting>
  <conditionalFormatting sqref="P11">
    <cfRule type="cellIs" dxfId="3831" priority="312" stopIfTrue="1" operator="equal">
      <formula>"INPUT STARTER IN COLUMN D"</formula>
    </cfRule>
  </conditionalFormatting>
  <conditionalFormatting sqref="P13">
    <cfRule type="cellIs" dxfId="3830" priority="311" stopIfTrue="1" operator="equal">
      <formula>"INPUT STARTER IN COLUMN D"</formula>
    </cfRule>
  </conditionalFormatting>
  <conditionalFormatting sqref="P14">
    <cfRule type="cellIs" dxfId="3829" priority="310" stopIfTrue="1" operator="equal">
      <formula>"INPUT STARTER IN COLUMN D"</formula>
    </cfRule>
  </conditionalFormatting>
  <conditionalFormatting sqref="P15">
    <cfRule type="cellIs" dxfId="3828" priority="309" stopIfTrue="1" operator="equal">
      <formula>"INPUT STARTER IN COLUMN D"</formula>
    </cfRule>
  </conditionalFormatting>
  <conditionalFormatting sqref="P16">
    <cfRule type="cellIs" dxfId="3827" priority="308" stopIfTrue="1" operator="equal">
      <formula>"INPUT STARTER IN COLUMN D"</formula>
    </cfRule>
  </conditionalFormatting>
  <conditionalFormatting sqref="P18">
    <cfRule type="cellIs" dxfId="3826" priority="307" stopIfTrue="1" operator="equal">
      <formula>"INPUT STARTER IN COLUMN D"</formula>
    </cfRule>
  </conditionalFormatting>
  <conditionalFormatting sqref="P19">
    <cfRule type="cellIs" dxfId="3825" priority="306" stopIfTrue="1" operator="equal">
      <formula>"INPUT STARTER IN COLUMN D"</formula>
    </cfRule>
  </conditionalFormatting>
  <conditionalFormatting sqref="P20">
    <cfRule type="cellIs" dxfId="3824" priority="305" stopIfTrue="1" operator="equal">
      <formula>"INPUT STARTER IN COLUMN D"</formula>
    </cfRule>
  </conditionalFormatting>
  <conditionalFormatting sqref="P21">
    <cfRule type="cellIs" dxfId="3823" priority="304" stopIfTrue="1" operator="equal">
      <formula>"INPUT STARTER IN COLUMN D"</formula>
    </cfRule>
  </conditionalFormatting>
  <conditionalFormatting sqref="P23">
    <cfRule type="cellIs" dxfId="3822" priority="303" stopIfTrue="1" operator="equal">
      <formula>"INPUT STARTER IN COLUMN D"</formula>
    </cfRule>
  </conditionalFormatting>
  <conditionalFormatting sqref="P24">
    <cfRule type="cellIs" dxfId="3821" priority="302" stopIfTrue="1" operator="equal">
      <formula>"INPUT STARTER IN COLUMN D"</formula>
    </cfRule>
  </conditionalFormatting>
  <conditionalFormatting sqref="P25">
    <cfRule type="cellIs" dxfId="3820" priority="301" stopIfTrue="1" operator="equal">
      <formula>"INPUT STARTER IN COLUMN D"</formula>
    </cfRule>
  </conditionalFormatting>
  <conditionalFormatting sqref="P26">
    <cfRule type="cellIs" dxfId="3819" priority="300" stopIfTrue="1" operator="equal">
      <formula>"INPUT STARTER IN COLUMN D"</formula>
    </cfRule>
  </conditionalFormatting>
  <conditionalFormatting sqref="P28">
    <cfRule type="cellIs" dxfId="3818" priority="299" stopIfTrue="1" operator="equal">
      <formula>"INPUT STARTER IN COLUMN D"</formula>
    </cfRule>
  </conditionalFormatting>
  <conditionalFormatting sqref="P29">
    <cfRule type="cellIs" dxfId="3817" priority="298" stopIfTrue="1" operator="equal">
      <formula>"INPUT STARTER IN COLUMN D"</formula>
    </cfRule>
  </conditionalFormatting>
  <conditionalFormatting sqref="P30">
    <cfRule type="cellIs" dxfId="3816" priority="297" stopIfTrue="1" operator="equal">
      <formula>"INPUT STARTER IN COLUMN D"</formula>
    </cfRule>
  </conditionalFormatting>
  <conditionalFormatting sqref="P31">
    <cfRule type="cellIs" dxfId="3815" priority="296" stopIfTrue="1" operator="equal">
      <formula>"INPUT STARTER IN COLUMN D"</formula>
    </cfRule>
  </conditionalFormatting>
  <conditionalFormatting sqref="P33">
    <cfRule type="cellIs" dxfId="3814" priority="295" stopIfTrue="1" operator="equal">
      <formula>"INPUT STARTER IN COLUMN D"</formula>
    </cfRule>
  </conditionalFormatting>
  <conditionalFormatting sqref="P34">
    <cfRule type="cellIs" dxfId="3813" priority="294" stopIfTrue="1" operator="equal">
      <formula>"INPUT STARTER IN COLUMN D"</formula>
    </cfRule>
  </conditionalFormatting>
  <conditionalFormatting sqref="P35">
    <cfRule type="cellIs" dxfId="3812" priority="293" stopIfTrue="1" operator="equal">
      <formula>"INPUT STARTER IN COLUMN D"</formula>
    </cfRule>
  </conditionalFormatting>
  <conditionalFormatting sqref="P36">
    <cfRule type="cellIs" dxfId="3811" priority="292" stopIfTrue="1" operator="equal">
      <formula>"INPUT STARTER IN COLUMN D"</formula>
    </cfRule>
  </conditionalFormatting>
  <conditionalFormatting sqref="P37">
    <cfRule type="cellIs" dxfId="3810" priority="291" stopIfTrue="1" operator="equal">
      <formula>"INPUT STARTER IN COLUMN D"</formula>
    </cfRule>
  </conditionalFormatting>
  <conditionalFormatting sqref="P38">
    <cfRule type="cellIs" dxfId="3809" priority="290" stopIfTrue="1" operator="equal">
      <formula>"INPUT STARTER IN COLUMN D"</formula>
    </cfRule>
  </conditionalFormatting>
  <conditionalFormatting sqref="P39">
    <cfRule type="cellIs" dxfId="3808" priority="289" stopIfTrue="1" operator="equal">
      <formula>"INPUT STARTER IN COLUMN D"</formula>
    </cfRule>
  </conditionalFormatting>
  <conditionalFormatting sqref="P40">
    <cfRule type="cellIs" dxfId="3807" priority="288" stopIfTrue="1" operator="equal">
      <formula>"INPUT STARTER IN COLUMN D"</formula>
    </cfRule>
  </conditionalFormatting>
  <conditionalFormatting sqref="P42">
    <cfRule type="cellIs" dxfId="3806" priority="287" stopIfTrue="1" operator="equal">
      <formula>"INPUT STARTER IN COLUMN D"</formula>
    </cfRule>
  </conditionalFormatting>
  <conditionalFormatting sqref="P43">
    <cfRule type="cellIs" dxfId="3805" priority="286" stopIfTrue="1" operator="equal">
      <formula>"INPUT STARTER IN COLUMN D"</formula>
    </cfRule>
  </conditionalFormatting>
  <conditionalFormatting sqref="P44">
    <cfRule type="cellIs" dxfId="3804" priority="285" stopIfTrue="1" operator="equal">
      <formula>"INPUT STARTER IN COLUMN D"</formula>
    </cfRule>
  </conditionalFormatting>
  <conditionalFormatting sqref="P45">
    <cfRule type="cellIs" dxfId="3803" priority="284" stopIfTrue="1" operator="equal">
      <formula>"INPUT STARTER IN COLUMN D"</formula>
    </cfRule>
  </conditionalFormatting>
  <conditionalFormatting sqref="P46">
    <cfRule type="cellIs" dxfId="3802" priority="283" stopIfTrue="1" operator="equal">
      <formula>"INPUT STARTER IN COLUMN D"</formula>
    </cfRule>
  </conditionalFormatting>
  <conditionalFormatting sqref="P47">
    <cfRule type="cellIs" dxfId="3801" priority="282" stopIfTrue="1" operator="equal">
      <formula>"INPUT STARTER IN COLUMN D"</formula>
    </cfRule>
  </conditionalFormatting>
  <conditionalFormatting sqref="P49">
    <cfRule type="cellIs" dxfId="3800" priority="281" stopIfTrue="1" operator="equal">
      <formula>"INPUT STARTER IN COLUMN D"</formula>
    </cfRule>
  </conditionalFormatting>
  <conditionalFormatting sqref="P50">
    <cfRule type="cellIs" dxfId="3799" priority="280" stopIfTrue="1" operator="equal">
      <formula>"INPUT STARTER IN COLUMN D"</formula>
    </cfRule>
  </conditionalFormatting>
  <conditionalFormatting sqref="P51">
    <cfRule type="cellIs" dxfId="3798" priority="279" stopIfTrue="1" operator="equal">
      <formula>"INPUT STARTER IN COLUMN D"</formula>
    </cfRule>
  </conditionalFormatting>
  <conditionalFormatting sqref="P52">
    <cfRule type="cellIs" dxfId="3797" priority="278" stopIfTrue="1" operator="equal">
      <formula>"INPUT STARTER IN COLUMN D"</formula>
    </cfRule>
  </conditionalFormatting>
  <conditionalFormatting sqref="P53">
    <cfRule type="cellIs" dxfId="3796" priority="277" stopIfTrue="1" operator="equal">
      <formula>"INPUT STARTER IN COLUMN D"</formula>
    </cfRule>
  </conditionalFormatting>
  <conditionalFormatting sqref="P54">
    <cfRule type="cellIs" dxfId="3795" priority="276" stopIfTrue="1" operator="equal">
      <formula>"INPUT STARTER IN COLUMN D"</formula>
    </cfRule>
  </conditionalFormatting>
  <conditionalFormatting sqref="P56">
    <cfRule type="cellIs" dxfId="3794" priority="275" stopIfTrue="1" operator="equal">
      <formula>"INPUT STARTER IN COLUMN D"</formula>
    </cfRule>
  </conditionalFormatting>
  <conditionalFormatting sqref="P57">
    <cfRule type="cellIs" dxfId="3793" priority="274" stopIfTrue="1" operator="equal">
      <formula>"INPUT STARTER IN COLUMN D"</formula>
    </cfRule>
  </conditionalFormatting>
  <conditionalFormatting sqref="P58">
    <cfRule type="cellIs" dxfId="3792" priority="273" stopIfTrue="1" operator="equal">
      <formula>"INPUT STARTER IN COLUMN D"</formula>
    </cfRule>
  </conditionalFormatting>
  <conditionalFormatting sqref="P59">
    <cfRule type="cellIs" dxfId="3791" priority="272" stopIfTrue="1" operator="equal">
      <formula>"INPUT STARTER IN COLUMN D"</formula>
    </cfRule>
  </conditionalFormatting>
  <conditionalFormatting sqref="P60">
    <cfRule type="cellIs" dxfId="3790" priority="271" stopIfTrue="1" operator="equal">
      <formula>"INPUT STARTER IN COLUMN D"</formula>
    </cfRule>
  </conditionalFormatting>
  <conditionalFormatting sqref="P61">
    <cfRule type="cellIs" dxfId="3789" priority="270" stopIfTrue="1" operator="equal">
      <formula>"INPUT STARTER IN COLUMN D"</formula>
    </cfRule>
  </conditionalFormatting>
  <conditionalFormatting sqref="P63">
    <cfRule type="cellIs" dxfId="3788" priority="269" stopIfTrue="1" operator="equal">
      <formula>"INPUT STARTER IN COLUMN D"</formula>
    </cfRule>
  </conditionalFormatting>
  <conditionalFormatting sqref="P64">
    <cfRule type="cellIs" dxfId="3787" priority="268" stopIfTrue="1" operator="equal">
      <formula>"INPUT STARTER IN COLUMN D"</formula>
    </cfRule>
  </conditionalFormatting>
  <conditionalFormatting sqref="P65">
    <cfRule type="cellIs" dxfId="3786" priority="267" stopIfTrue="1" operator="equal">
      <formula>"INPUT STARTER IN COLUMN D"</formula>
    </cfRule>
  </conditionalFormatting>
  <conditionalFormatting sqref="P66">
    <cfRule type="cellIs" dxfId="3785" priority="266" stopIfTrue="1" operator="equal">
      <formula>"INPUT STARTER IN COLUMN D"</formula>
    </cfRule>
  </conditionalFormatting>
  <conditionalFormatting sqref="P67">
    <cfRule type="cellIs" dxfId="3784" priority="265" stopIfTrue="1" operator="equal">
      <formula>"INPUT STARTER IN COLUMN D"</formula>
    </cfRule>
  </conditionalFormatting>
  <conditionalFormatting sqref="P68">
    <cfRule type="cellIs" dxfId="3783" priority="264" stopIfTrue="1" operator="equal">
      <formula>"INPUT STARTER IN COLUMN D"</formula>
    </cfRule>
  </conditionalFormatting>
  <conditionalFormatting sqref="P69">
    <cfRule type="cellIs" dxfId="3782" priority="263" stopIfTrue="1" operator="equal">
      <formula>"INPUT STARTER IN COLUMN D"</formula>
    </cfRule>
  </conditionalFormatting>
  <conditionalFormatting sqref="P71">
    <cfRule type="cellIs" dxfId="3781" priority="262" stopIfTrue="1" operator="equal">
      <formula>"INPUT STARTER IN COLUMN D"</formula>
    </cfRule>
  </conditionalFormatting>
  <conditionalFormatting sqref="P72">
    <cfRule type="cellIs" dxfId="3780" priority="261" stopIfTrue="1" operator="equal">
      <formula>"INPUT STARTER IN COLUMN D"</formula>
    </cfRule>
  </conditionalFormatting>
  <conditionalFormatting sqref="P73">
    <cfRule type="cellIs" dxfId="3779" priority="260" stopIfTrue="1" operator="equal">
      <formula>"INPUT STARTER IN COLUMN D"</formula>
    </cfRule>
  </conditionalFormatting>
  <conditionalFormatting sqref="P74">
    <cfRule type="cellIs" dxfId="3778" priority="259" stopIfTrue="1" operator="equal">
      <formula>"INPUT STARTER IN COLUMN D"</formula>
    </cfRule>
  </conditionalFormatting>
  <conditionalFormatting sqref="P75">
    <cfRule type="cellIs" dxfId="3777" priority="258" stopIfTrue="1" operator="equal">
      <formula>"INPUT STARTER IN COLUMN D"</formula>
    </cfRule>
  </conditionalFormatting>
  <conditionalFormatting sqref="P76">
    <cfRule type="cellIs" dxfId="3776" priority="257" stopIfTrue="1" operator="equal">
      <formula>"INPUT STARTER IN COLUMN D"</formula>
    </cfRule>
  </conditionalFormatting>
  <conditionalFormatting sqref="P77">
    <cfRule type="cellIs" dxfId="3775" priority="256" stopIfTrue="1" operator="equal">
      <formula>"INPUT STARTER IN COLUMN D"</formula>
    </cfRule>
  </conditionalFormatting>
  <conditionalFormatting sqref="P78">
    <cfRule type="cellIs" dxfId="3774" priority="255" stopIfTrue="1" operator="equal">
      <formula>"INPUT STARTER IN COLUMN D"</formula>
    </cfRule>
  </conditionalFormatting>
  <conditionalFormatting sqref="P79">
    <cfRule type="cellIs" dxfId="3773" priority="254" stopIfTrue="1" operator="equal">
      <formula>"INPUT STARTER IN COLUMN D"</formula>
    </cfRule>
  </conditionalFormatting>
  <conditionalFormatting sqref="P80">
    <cfRule type="cellIs" dxfId="3772" priority="253" stopIfTrue="1" operator="equal">
      <formula>"INPUT STARTER IN COLUMN D"</formula>
    </cfRule>
  </conditionalFormatting>
  <conditionalFormatting sqref="P81">
    <cfRule type="cellIs" dxfId="3771" priority="252" stopIfTrue="1" operator="equal">
      <formula>"INPUT STARTER IN COLUMN D"</formula>
    </cfRule>
  </conditionalFormatting>
  <conditionalFormatting sqref="P82">
    <cfRule type="cellIs" dxfId="3770" priority="251" stopIfTrue="1" operator="equal">
      <formula>"INPUT STARTER IN COLUMN D"</formula>
    </cfRule>
  </conditionalFormatting>
  <conditionalFormatting sqref="P84">
    <cfRule type="cellIs" dxfId="3769" priority="250" stopIfTrue="1" operator="equal">
      <formula>"INPUT STARTER IN COLUMN D"</formula>
    </cfRule>
  </conditionalFormatting>
  <conditionalFormatting sqref="P85">
    <cfRule type="cellIs" dxfId="3768" priority="249" stopIfTrue="1" operator="equal">
      <formula>"INPUT STARTER IN COLUMN D"</formula>
    </cfRule>
  </conditionalFormatting>
  <conditionalFormatting sqref="P86">
    <cfRule type="cellIs" dxfId="3767" priority="248" stopIfTrue="1" operator="equal">
      <formula>"INPUT STARTER IN COLUMN D"</formula>
    </cfRule>
  </conditionalFormatting>
  <conditionalFormatting sqref="P87">
    <cfRule type="cellIs" dxfId="3766" priority="247" stopIfTrue="1" operator="equal">
      <formula>"INPUT STARTER IN COLUMN D"</formula>
    </cfRule>
  </conditionalFormatting>
  <conditionalFormatting sqref="P88">
    <cfRule type="cellIs" dxfId="3765" priority="246" stopIfTrue="1" operator="equal">
      <formula>"INPUT STARTER IN COLUMN D"</formula>
    </cfRule>
  </conditionalFormatting>
  <conditionalFormatting sqref="P89">
    <cfRule type="cellIs" dxfId="3764" priority="245" stopIfTrue="1" operator="equal">
      <formula>"INPUT STARTER IN COLUMN D"</formula>
    </cfRule>
  </conditionalFormatting>
  <conditionalFormatting sqref="P91">
    <cfRule type="cellIs" dxfId="3763" priority="244" stopIfTrue="1" operator="equal">
      <formula>"INPUT STARTER IN COLUMN D"</formula>
    </cfRule>
  </conditionalFormatting>
  <conditionalFormatting sqref="P92">
    <cfRule type="cellIs" dxfId="3762" priority="243" stopIfTrue="1" operator="equal">
      <formula>"INPUT STARTER IN COLUMN D"</formula>
    </cfRule>
  </conditionalFormatting>
  <conditionalFormatting sqref="P93">
    <cfRule type="cellIs" dxfId="3761" priority="242" stopIfTrue="1" operator="equal">
      <formula>"INPUT STARTER IN COLUMN D"</formula>
    </cfRule>
  </conditionalFormatting>
  <conditionalFormatting sqref="P94">
    <cfRule type="cellIs" dxfId="3760" priority="241" stopIfTrue="1" operator="equal">
      <formula>"INPUT STARTER IN COLUMN D"</formula>
    </cfRule>
  </conditionalFormatting>
  <conditionalFormatting sqref="P95">
    <cfRule type="cellIs" dxfId="3759" priority="240" stopIfTrue="1" operator="equal">
      <formula>"INPUT STARTER IN COLUMN D"</formula>
    </cfRule>
  </conditionalFormatting>
  <conditionalFormatting sqref="P96">
    <cfRule type="cellIs" dxfId="3758" priority="239" stopIfTrue="1" operator="equal">
      <formula>"INPUT STARTER IN COLUMN D"</formula>
    </cfRule>
  </conditionalFormatting>
  <conditionalFormatting sqref="P97">
    <cfRule type="cellIs" dxfId="3757" priority="238" stopIfTrue="1" operator="equal">
      <formula>"INPUT STARTER IN COLUMN D"</formula>
    </cfRule>
  </conditionalFormatting>
  <conditionalFormatting sqref="P98">
    <cfRule type="cellIs" dxfId="3756" priority="237" stopIfTrue="1" operator="equal">
      <formula>"INPUT STARTER IN COLUMN D"</formula>
    </cfRule>
  </conditionalFormatting>
  <conditionalFormatting sqref="P99">
    <cfRule type="cellIs" dxfId="3755" priority="236" stopIfTrue="1" operator="equal">
      <formula>"INPUT STARTER IN COLUMN D"</formula>
    </cfRule>
  </conditionalFormatting>
  <conditionalFormatting sqref="P100">
    <cfRule type="cellIs" dxfId="3754" priority="235" stopIfTrue="1" operator="equal">
      <formula>"INPUT STARTER IN COLUMN D"</formula>
    </cfRule>
  </conditionalFormatting>
  <conditionalFormatting sqref="P101">
    <cfRule type="cellIs" dxfId="3753" priority="234" stopIfTrue="1" operator="equal">
      <formula>"INPUT STARTER IN COLUMN D"</formula>
    </cfRule>
  </conditionalFormatting>
  <conditionalFormatting sqref="P102">
    <cfRule type="cellIs" dxfId="3752" priority="233" stopIfTrue="1" operator="equal">
      <formula>"INPUT STARTER IN COLUMN D"</formula>
    </cfRule>
  </conditionalFormatting>
  <conditionalFormatting sqref="P106">
    <cfRule type="cellIs" dxfId="3751" priority="232" stopIfTrue="1" operator="equal">
      <formula>"INPUT STARTER IN COLUMN D"</formula>
    </cfRule>
  </conditionalFormatting>
  <conditionalFormatting sqref="P107">
    <cfRule type="cellIs" dxfId="3750" priority="231" stopIfTrue="1" operator="equal">
      <formula>"INPUT STARTER IN COLUMN D"</formula>
    </cfRule>
  </conditionalFormatting>
  <conditionalFormatting sqref="P108">
    <cfRule type="cellIs" dxfId="3749" priority="230" stopIfTrue="1" operator="equal">
      <formula>"INPUT STARTER IN COLUMN D"</formula>
    </cfRule>
  </conditionalFormatting>
  <conditionalFormatting sqref="P109">
    <cfRule type="cellIs" dxfId="3748" priority="229" stopIfTrue="1" operator="equal">
      <formula>"INPUT STARTER IN COLUMN D"</formula>
    </cfRule>
  </conditionalFormatting>
  <conditionalFormatting sqref="P110">
    <cfRule type="cellIs" dxfId="3747" priority="228" stopIfTrue="1" operator="equal">
      <formula>"INPUT STARTER IN COLUMN D"</formula>
    </cfRule>
  </conditionalFormatting>
  <conditionalFormatting sqref="P111">
    <cfRule type="cellIs" dxfId="3746" priority="227" stopIfTrue="1" operator="equal">
      <formula>"INPUT STARTER IN COLUMN D"</formula>
    </cfRule>
  </conditionalFormatting>
  <conditionalFormatting sqref="P112">
    <cfRule type="cellIs" dxfId="3745" priority="226" stopIfTrue="1" operator="equal">
      <formula>"INPUT STARTER IN COLUMN D"</formula>
    </cfRule>
  </conditionalFormatting>
  <conditionalFormatting sqref="P113">
    <cfRule type="cellIs" dxfId="3744" priority="225" stopIfTrue="1" operator="equal">
      <formula>"INPUT STARTER IN COLUMN D"</formula>
    </cfRule>
  </conditionalFormatting>
  <conditionalFormatting sqref="P114">
    <cfRule type="cellIs" dxfId="3743" priority="224" stopIfTrue="1" operator="equal">
      <formula>"INPUT STARTER IN COLUMN D"</formula>
    </cfRule>
  </conditionalFormatting>
  <conditionalFormatting sqref="P115">
    <cfRule type="cellIs" dxfId="3742" priority="223" stopIfTrue="1" operator="equal">
      <formula>"INPUT STARTER IN COLUMN D"</formula>
    </cfRule>
  </conditionalFormatting>
  <conditionalFormatting sqref="P116">
    <cfRule type="cellIs" dxfId="3741" priority="222" stopIfTrue="1" operator="equal">
      <formula>"INPUT STARTER IN COLUMN D"</formula>
    </cfRule>
  </conditionalFormatting>
  <conditionalFormatting sqref="P117">
    <cfRule type="cellIs" dxfId="3740" priority="221" stopIfTrue="1" operator="equal">
      <formula>"INPUT STARTER IN COLUMN D"</formula>
    </cfRule>
  </conditionalFormatting>
  <conditionalFormatting sqref="P118">
    <cfRule type="cellIs" dxfId="3739" priority="220" stopIfTrue="1" operator="equal">
      <formula>"INPUT STARTER IN COLUMN D"</formula>
    </cfRule>
  </conditionalFormatting>
  <conditionalFormatting sqref="P119">
    <cfRule type="cellIs" dxfId="3738" priority="219" stopIfTrue="1" operator="equal">
      <formula>"INPUT STARTER IN COLUMN D"</formula>
    </cfRule>
  </conditionalFormatting>
  <conditionalFormatting sqref="P120">
    <cfRule type="cellIs" dxfId="3737" priority="218" stopIfTrue="1" operator="equal">
      <formula>"INPUT STARTER IN COLUMN D"</formula>
    </cfRule>
  </conditionalFormatting>
  <conditionalFormatting sqref="P121">
    <cfRule type="cellIs" dxfId="3736" priority="217" stopIfTrue="1" operator="equal">
      <formula>"INPUT STARTER IN COLUMN D"</formula>
    </cfRule>
  </conditionalFormatting>
  <conditionalFormatting sqref="P122">
    <cfRule type="cellIs" dxfId="3735" priority="216" stopIfTrue="1" operator="equal">
      <formula>"INPUT STARTER IN COLUMN D"</formula>
    </cfRule>
  </conditionalFormatting>
  <conditionalFormatting sqref="P123">
    <cfRule type="cellIs" dxfId="3734" priority="215" stopIfTrue="1" operator="equal">
      <formula>"INPUT STARTER IN COLUMN D"</formula>
    </cfRule>
  </conditionalFormatting>
  <conditionalFormatting sqref="P125">
    <cfRule type="cellIs" dxfId="3733" priority="214" stopIfTrue="1" operator="equal">
      <formula>"INPUT STARTER IN COLUMN D"</formula>
    </cfRule>
  </conditionalFormatting>
  <conditionalFormatting sqref="P126">
    <cfRule type="cellIs" dxfId="3732" priority="213" stopIfTrue="1" operator="equal">
      <formula>"INPUT STARTER IN COLUMN D"</formula>
    </cfRule>
  </conditionalFormatting>
  <conditionalFormatting sqref="P127">
    <cfRule type="cellIs" dxfId="3731" priority="212" stopIfTrue="1" operator="equal">
      <formula>"INPUT STARTER IN COLUMN D"</formula>
    </cfRule>
  </conditionalFormatting>
  <conditionalFormatting sqref="P128">
    <cfRule type="cellIs" dxfId="3730" priority="211" stopIfTrue="1" operator="equal">
      <formula>"INPUT STARTER IN COLUMN D"</formula>
    </cfRule>
  </conditionalFormatting>
  <conditionalFormatting sqref="P129">
    <cfRule type="cellIs" dxfId="3729" priority="210" stopIfTrue="1" operator="equal">
      <formula>"INPUT STARTER IN COLUMN D"</formula>
    </cfRule>
  </conditionalFormatting>
  <conditionalFormatting sqref="P130">
    <cfRule type="cellIs" dxfId="3728" priority="209" stopIfTrue="1" operator="equal">
      <formula>"INPUT STARTER IN COLUMN D"</formula>
    </cfRule>
  </conditionalFormatting>
  <conditionalFormatting sqref="P131">
    <cfRule type="cellIs" dxfId="3727" priority="208" stopIfTrue="1" operator="equal">
      <formula>"INPUT STARTER IN COLUMN D"</formula>
    </cfRule>
  </conditionalFormatting>
  <conditionalFormatting sqref="P132">
    <cfRule type="cellIs" dxfId="3726" priority="207" stopIfTrue="1" operator="equal">
      <formula>"INPUT STARTER IN COLUMN D"</formula>
    </cfRule>
  </conditionalFormatting>
  <conditionalFormatting sqref="P133">
    <cfRule type="cellIs" dxfId="3725" priority="206" stopIfTrue="1" operator="equal">
      <formula>"INPUT STARTER IN COLUMN D"</formula>
    </cfRule>
  </conditionalFormatting>
  <conditionalFormatting sqref="P134">
    <cfRule type="cellIs" dxfId="3724" priority="205" stopIfTrue="1" operator="equal">
      <formula>"INPUT STARTER IN COLUMN D"</formula>
    </cfRule>
  </conditionalFormatting>
  <conditionalFormatting sqref="P135">
    <cfRule type="cellIs" dxfId="3723" priority="204" stopIfTrue="1" operator="equal">
      <formula>"INPUT STARTER IN COLUMN D"</formula>
    </cfRule>
  </conditionalFormatting>
  <conditionalFormatting sqref="P136">
    <cfRule type="cellIs" dxfId="3722" priority="203" stopIfTrue="1" operator="equal">
      <formula>"INPUT STARTER IN COLUMN D"</formula>
    </cfRule>
  </conditionalFormatting>
  <conditionalFormatting sqref="P137">
    <cfRule type="cellIs" dxfId="3721" priority="202" stopIfTrue="1" operator="equal">
      <formula>"INPUT STARTER IN COLUMN D"</formula>
    </cfRule>
  </conditionalFormatting>
  <conditionalFormatting sqref="P139">
    <cfRule type="cellIs" dxfId="3720" priority="201" stopIfTrue="1" operator="equal">
      <formula>"INPUT STARTER IN COLUMN D"</formula>
    </cfRule>
  </conditionalFormatting>
  <conditionalFormatting sqref="P140">
    <cfRule type="cellIs" dxfId="3719" priority="200" stopIfTrue="1" operator="equal">
      <formula>"INPUT STARTER IN COLUMN D"</formula>
    </cfRule>
  </conditionalFormatting>
  <conditionalFormatting sqref="P141">
    <cfRule type="cellIs" dxfId="3718" priority="199" stopIfTrue="1" operator="equal">
      <formula>"INPUT STARTER IN COLUMN D"</formula>
    </cfRule>
  </conditionalFormatting>
  <conditionalFormatting sqref="P142">
    <cfRule type="cellIs" dxfId="3717" priority="198" stopIfTrue="1" operator="equal">
      <formula>"INPUT STARTER IN COLUMN D"</formula>
    </cfRule>
  </conditionalFormatting>
  <conditionalFormatting sqref="P143">
    <cfRule type="cellIs" dxfId="3716" priority="197" stopIfTrue="1" operator="equal">
      <formula>"INPUT STARTER IN COLUMN D"</formula>
    </cfRule>
  </conditionalFormatting>
  <conditionalFormatting sqref="P144">
    <cfRule type="cellIs" dxfId="3715" priority="196" stopIfTrue="1" operator="equal">
      <formula>"INPUT STARTER IN COLUMN D"</formula>
    </cfRule>
  </conditionalFormatting>
  <conditionalFormatting sqref="P145">
    <cfRule type="cellIs" dxfId="3714" priority="195" stopIfTrue="1" operator="equal">
      <formula>"INPUT STARTER IN COLUMN D"</formula>
    </cfRule>
  </conditionalFormatting>
  <conditionalFormatting sqref="P146">
    <cfRule type="cellIs" dxfId="3713" priority="194" stopIfTrue="1" operator="equal">
      <formula>"INPUT STARTER IN COLUMN D"</formula>
    </cfRule>
  </conditionalFormatting>
  <conditionalFormatting sqref="P147">
    <cfRule type="cellIs" dxfId="3712" priority="193" stopIfTrue="1" operator="equal">
      <formula>"INPUT STARTER IN COLUMN D"</formula>
    </cfRule>
  </conditionalFormatting>
  <conditionalFormatting sqref="P148">
    <cfRule type="cellIs" dxfId="3711" priority="192" stopIfTrue="1" operator="equal">
      <formula>"INPUT STARTER IN COLUMN D"</formula>
    </cfRule>
  </conditionalFormatting>
  <conditionalFormatting sqref="P149">
    <cfRule type="cellIs" dxfId="3710" priority="191" stopIfTrue="1" operator="equal">
      <formula>"INPUT STARTER IN COLUMN D"</formula>
    </cfRule>
  </conditionalFormatting>
  <conditionalFormatting sqref="P150">
    <cfRule type="cellIs" dxfId="3709" priority="190" stopIfTrue="1" operator="equal">
      <formula>"INPUT STARTER IN COLUMN D"</formula>
    </cfRule>
  </conditionalFormatting>
  <conditionalFormatting sqref="P151">
    <cfRule type="cellIs" dxfId="3708" priority="189" stopIfTrue="1" operator="equal">
      <formula>"INPUT STARTER IN COLUMN D"</formula>
    </cfRule>
  </conditionalFormatting>
  <conditionalFormatting sqref="P152">
    <cfRule type="cellIs" dxfId="3707" priority="188" stopIfTrue="1" operator="equal">
      <formula>"INPUT STARTER IN COLUMN D"</formula>
    </cfRule>
  </conditionalFormatting>
  <conditionalFormatting sqref="P153">
    <cfRule type="cellIs" dxfId="3706" priority="187" stopIfTrue="1" operator="equal">
      <formula>"INPUT STARTER IN COLUMN D"</formula>
    </cfRule>
  </conditionalFormatting>
  <conditionalFormatting sqref="P154">
    <cfRule type="cellIs" dxfId="3705" priority="186" stopIfTrue="1" operator="equal">
      <formula>"INPUT STARTER IN COLUMN D"</formula>
    </cfRule>
  </conditionalFormatting>
  <conditionalFormatting sqref="P155">
    <cfRule type="cellIs" dxfId="3704" priority="185" stopIfTrue="1" operator="equal">
      <formula>"INPUT STARTER IN COLUMN D"</formula>
    </cfRule>
  </conditionalFormatting>
  <conditionalFormatting sqref="P157">
    <cfRule type="cellIs" dxfId="3703" priority="184" stopIfTrue="1" operator="equal">
      <formula>"INPUT STARTER IN COLUMN D"</formula>
    </cfRule>
  </conditionalFormatting>
  <conditionalFormatting sqref="P158">
    <cfRule type="cellIs" dxfId="3702" priority="183" stopIfTrue="1" operator="equal">
      <formula>"INPUT STARTER IN COLUMN D"</formula>
    </cfRule>
  </conditionalFormatting>
  <conditionalFormatting sqref="P159">
    <cfRule type="cellIs" dxfId="3701" priority="182" stopIfTrue="1" operator="equal">
      <formula>"INPUT STARTER IN COLUMN D"</formula>
    </cfRule>
  </conditionalFormatting>
  <conditionalFormatting sqref="P160">
    <cfRule type="cellIs" dxfId="3700" priority="181" stopIfTrue="1" operator="equal">
      <formula>"INPUT STARTER IN COLUMN D"</formula>
    </cfRule>
  </conditionalFormatting>
  <conditionalFormatting sqref="P161">
    <cfRule type="cellIs" dxfId="3699" priority="180" stopIfTrue="1" operator="equal">
      <formula>"INPUT STARTER IN COLUMN D"</formula>
    </cfRule>
  </conditionalFormatting>
  <conditionalFormatting sqref="P162">
    <cfRule type="cellIs" dxfId="3698" priority="179" stopIfTrue="1" operator="equal">
      <formula>"INPUT STARTER IN COLUMN D"</formula>
    </cfRule>
  </conditionalFormatting>
  <conditionalFormatting sqref="P163">
    <cfRule type="cellIs" dxfId="3697" priority="178" stopIfTrue="1" operator="equal">
      <formula>"INPUT STARTER IN COLUMN D"</formula>
    </cfRule>
  </conditionalFormatting>
  <conditionalFormatting sqref="P165">
    <cfRule type="cellIs" dxfId="3696" priority="177" stopIfTrue="1" operator="equal">
      <formula>"INPUT STARTER IN COLUMN D"</formula>
    </cfRule>
  </conditionalFormatting>
  <conditionalFormatting sqref="P166">
    <cfRule type="cellIs" dxfId="3695" priority="176" stopIfTrue="1" operator="equal">
      <formula>"INPUT STARTER IN COLUMN D"</formula>
    </cfRule>
  </conditionalFormatting>
  <conditionalFormatting sqref="P167">
    <cfRule type="cellIs" dxfId="3694" priority="175" stopIfTrue="1" operator="equal">
      <formula>"INPUT STARTER IN COLUMN D"</formula>
    </cfRule>
  </conditionalFormatting>
  <conditionalFormatting sqref="P168">
    <cfRule type="cellIs" dxfId="3693" priority="174" stopIfTrue="1" operator="equal">
      <formula>"INPUT STARTER IN COLUMN D"</formula>
    </cfRule>
  </conditionalFormatting>
  <conditionalFormatting sqref="P169">
    <cfRule type="cellIs" dxfId="3692" priority="173" stopIfTrue="1" operator="equal">
      <formula>"INPUT STARTER IN COLUMN D"</formula>
    </cfRule>
  </conditionalFormatting>
  <conditionalFormatting sqref="P170">
    <cfRule type="cellIs" dxfId="3691" priority="172" stopIfTrue="1" operator="equal">
      <formula>"INPUT STARTER IN COLUMN D"</formula>
    </cfRule>
  </conditionalFormatting>
  <conditionalFormatting sqref="P171">
    <cfRule type="cellIs" dxfId="3690" priority="171" stopIfTrue="1" operator="equal">
      <formula>"INPUT STARTER IN COLUMN D"</formula>
    </cfRule>
  </conditionalFormatting>
  <conditionalFormatting sqref="P172">
    <cfRule type="cellIs" dxfId="3689" priority="170" stopIfTrue="1" operator="equal">
      <formula>"INPUT STARTER IN COLUMN D"</formula>
    </cfRule>
  </conditionalFormatting>
  <conditionalFormatting sqref="P173">
    <cfRule type="cellIs" dxfId="3688" priority="169" stopIfTrue="1" operator="equal">
      <formula>"INPUT STARTER IN COLUMN D"</formula>
    </cfRule>
  </conditionalFormatting>
  <conditionalFormatting sqref="P174">
    <cfRule type="cellIs" dxfId="3687" priority="168" stopIfTrue="1" operator="equal">
      <formula>"INPUT STARTER IN COLUMN D"</formula>
    </cfRule>
  </conditionalFormatting>
  <conditionalFormatting sqref="P176">
    <cfRule type="cellIs" dxfId="3686" priority="167" stopIfTrue="1" operator="equal">
      <formula>"INPUT STARTER IN COLUMN D"</formula>
    </cfRule>
  </conditionalFormatting>
  <conditionalFormatting sqref="P177">
    <cfRule type="cellIs" dxfId="3685" priority="166" stopIfTrue="1" operator="equal">
      <formula>"INPUT STARTER IN COLUMN D"</formula>
    </cfRule>
  </conditionalFormatting>
  <conditionalFormatting sqref="P178">
    <cfRule type="cellIs" dxfId="3684" priority="165" stopIfTrue="1" operator="equal">
      <formula>"INPUT STARTER IN COLUMN D"</formula>
    </cfRule>
  </conditionalFormatting>
  <conditionalFormatting sqref="P179">
    <cfRule type="cellIs" dxfId="3683" priority="164" stopIfTrue="1" operator="equal">
      <formula>"INPUT STARTER IN COLUMN D"</formula>
    </cfRule>
  </conditionalFormatting>
  <conditionalFormatting sqref="P180">
    <cfRule type="cellIs" dxfId="3682" priority="163" stopIfTrue="1" operator="equal">
      <formula>"INPUT STARTER IN COLUMN D"</formula>
    </cfRule>
  </conditionalFormatting>
  <conditionalFormatting sqref="P181">
    <cfRule type="cellIs" dxfId="3681" priority="162" stopIfTrue="1" operator="equal">
      <formula>"INPUT STARTER IN COLUMN D"</formula>
    </cfRule>
  </conditionalFormatting>
  <conditionalFormatting sqref="P182">
    <cfRule type="cellIs" dxfId="3680" priority="161" stopIfTrue="1" operator="equal">
      <formula>"INPUT STARTER IN COLUMN D"</formula>
    </cfRule>
  </conditionalFormatting>
  <conditionalFormatting sqref="P183">
    <cfRule type="cellIs" dxfId="3679" priority="160" stopIfTrue="1" operator="equal">
      <formula>"INPUT STARTER IN COLUMN D"</formula>
    </cfRule>
  </conditionalFormatting>
  <conditionalFormatting sqref="P184">
    <cfRule type="cellIs" dxfId="3678" priority="159" stopIfTrue="1" operator="equal">
      <formula>"INPUT STARTER IN COLUMN D"</formula>
    </cfRule>
  </conditionalFormatting>
  <conditionalFormatting sqref="P185">
    <cfRule type="cellIs" dxfId="3677" priority="158" stopIfTrue="1" operator="equal">
      <formula>"INPUT STARTER IN COLUMN D"</formula>
    </cfRule>
  </conditionalFormatting>
  <conditionalFormatting sqref="AK3:AK22">
    <cfRule type="cellIs" dxfId="3676" priority="157" stopIfTrue="1" operator="equal">
      <formula>"must average at least 5 innings per start"</formula>
    </cfRule>
  </conditionalFormatting>
  <conditionalFormatting sqref="AK23">
    <cfRule type="cellIs" dxfId="3675" priority="156" stopIfTrue="1" operator="equal">
      <formula>"must have 162 starts"</formula>
    </cfRule>
  </conditionalFormatting>
  <conditionalFormatting sqref="AH3:AH22">
    <cfRule type="cellIs" dxfId="3674" priority="155" stopIfTrue="1" operator="equal">
      <formula>"must average at least 5 innings per start"</formula>
    </cfRule>
  </conditionalFormatting>
  <conditionalFormatting sqref="AH23">
    <cfRule type="cellIs" dxfId="3673" priority="154" stopIfTrue="1" operator="equal">
      <formula>"must have 162 starts"</formula>
    </cfRule>
  </conditionalFormatting>
  <conditionalFormatting sqref="AG3:AG22">
    <cfRule type="cellIs" dxfId="3672" priority="153" stopIfTrue="1" operator="equal">
      <formula>"must average at least 5 innings per start"</formula>
    </cfRule>
  </conditionalFormatting>
  <conditionalFormatting sqref="AG23">
    <cfRule type="cellIs" dxfId="3671" priority="152" stopIfTrue="1" operator="equal">
      <formula>"must have 162 starts"</formula>
    </cfRule>
  </conditionalFormatting>
  <conditionalFormatting sqref="AK3:AK22">
    <cfRule type="cellIs" dxfId="3670" priority="151" stopIfTrue="1" operator="equal">
      <formula>"must average at least 5 innings per start"</formula>
    </cfRule>
  </conditionalFormatting>
  <conditionalFormatting sqref="AK23">
    <cfRule type="cellIs" dxfId="3669" priority="150" stopIfTrue="1" operator="equal">
      <formula>"must have 162 starts"</formula>
    </cfRule>
  </conditionalFormatting>
  <conditionalFormatting sqref="AH3:AH22">
    <cfRule type="cellIs" dxfId="3668" priority="149" stopIfTrue="1" operator="equal">
      <formula>"must average at least 5 innings per start"</formula>
    </cfRule>
  </conditionalFormatting>
  <conditionalFormatting sqref="AH23">
    <cfRule type="cellIs" dxfId="3667" priority="148" stopIfTrue="1" operator="equal">
      <formula>"must have 162 starts"</formula>
    </cfRule>
  </conditionalFormatting>
  <conditionalFormatting sqref="AG3:AG22">
    <cfRule type="cellIs" dxfId="3666" priority="147" stopIfTrue="1" operator="equal">
      <formula>"must average at least 5 innings per start"</formula>
    </cfRule>
  </conditionalFormatting>
  <conditionalFormatting sqref="AG23">
    <cfRule type="cellIs" dxfId="3665" priority="146" stopIfTrue="1" operator="equal">
      <formula>"must have 162 starts"</formula>
    </cfRule>
  </conditionalFormatting>
  <conditionalFormatting sqref="AK3:AK22">
    <cfRule type="cellIs" dxfId="3664" priority="145" stopIfTrue="1" operator="equal">
      <formula>"must average at least 5 innings per start"</formula>
    </cfRule>
  </conditionalFormatting>
  <conditionalFormatting sqref="AK23">
    <cfRule type="cellIs" dxfId="3663" priority="144" stopIfTrue="1" operator="equal">
      <formula>"must have 162 starts"</formula>
    </cfRule>
  </conditionalFormatting>
  <conditionalFormatting sqref="AH3:AH22">
    <cfRule type="cellIs" dxfId="3662" priority="143" stopIfTrue="1" operator="equal">
      <formula>"must average at least 5 innings per start"</formula>
    </cfRule>
  </conditionalFormatting>
  <conditionalFormatting sqref="AH23">
    <cfRule type="cellIs" dxfId="3661" priority="142" stopIfTrue="1" operator="equal">
      <formula>"must have 162 starts"</formula>
    </cfRule>
  </conditionalFormatting>
  <conditionalFormatting sqref="AG3:AG22">
    <cfRule type="cellIs" dxfId="3660" priority="141" stopIfTrue="1" operator="equal">
      <formula>"must average at least 5 innings per start"</formula>
    </cfRule>
  </conditionalFormatting>
  <conditionalFormatting sqref="AG23">
    <cfRule type="cellIs" dxfId="3659" priority="140" stopIfTrue="1" operator="equal">
      <formula>"must have 162 starts"</formula>
    </cfRule>
  </conditionalFormatting>
  <conditionalFormatting sqref="AK3:AK22">
    <cfRule type="cellIs" dxfId="3658" priority="139" stopIfTrue="1" operator="equal">
      <formula>"must average at least 5 innings per start"</formula>
    </cfRule>
  </conditionalFormatting>
  <conditionalFormatting sqref="AK23">
    <cfRule type="cellIs" dxfId="3657" priority="138" stopIfTrue="1" operator="equal">
      <formula>"must have 162 starts"</formula>
    </cfRule>
  </conditionalFormatting>
  <conditionalFormatting sqref="AH3:AH22">
    <cfRule type="cellIs" dxfId="3656" priority="137" stopIfTrue="1" operator="equal">
      <formula>"must average at least 5 innings per start"</formula>
    </cfRule>
  </conditionalFormatting>
  <conditionalFormatting sqref="AH23">
    <cfRule type="cellIs" dxfId="3655" priority="136" stopIfTrue="1" operator="equal">
      <formula>"must have 162 starts"</formula>
    </cfRule>
  </conditionalFormatting>
  <conditionalFormatting sqref="AG3:AG22">
    <cfRule type="cellIs" dxfId="3654" priority="135" stopIfTrue="1" operator="equal">
      <formula>"must average at least 5 innings per start"</formula>
    </cfRule>
  </conditionalFormatting>
  <conditionalFormatting sqref="AG23">
    <cfRule type="cellIs" dxfId="3653" priority="134" stopIfTrue="1" operator="equal">
      <formula>"must have 162 starts"</formula>
    </cfRule>
  </conditionalFormatting>
  <conditionalFormatting sqref="AK3:AK22">
    <cfRule type="cellIs" dxfId="3652" priority="133" stopIfTrue="1" operator="equal">
      <formula>"must average at least 5 innings per start"</formula>
    </cfRule>
  </conditionalFormatting>
  <conditionalFormatting sqref="AK23">
    <cfRule type="cellIs" dxfId="3651" priority="132" stopIfTrue="1" operator="equal">
      <formula>"must have 162 starts"</formula>
    </cfRule>
  </conditionalFormatting>
  <conditionalFormatting sqref="AH3:AH22">
    <cfRule type="cellIs" dxfId="3650" priority="131" stopIfTrue="1" operator="equal">
      <formula>"must average at least 5 innings per start"</formula>
    </cfRule>
  </conditionalFormatting>
  <conditionalFormatting sqref="AH23">
    <cfRule type="cellIs" dxfId="3649" priority="130" stopIfTrue="1" operator="equal">
      <formula>"must have 162 starts"</formula>
    </cfRule>
  </conditionalFormatting>
  <conditionalFormatting sqref="AG3:AG22">
    <cfRule type="cellIs" dxfId="3648" priority="129" stopIfTrue="1" operator="equal">
      <formula>"must average at least 5 innings per start"</formula>
    </cfRule>
  </conditionalFormatting>
  <conditionalFormatting sqref="AG23">
    <cfRule type="cellIs" dxfId="3647" priority="128" stopIfTrue="1" operator="equal">
      <formula>"must have 162 starts"</formula>
    </cfRule>
  </conditionalFormatting>
  <conditionalFormatting sqref="AK3:AK22">
    <cfRule type="cellIs" dxfId="3646" priority="127" stopIfTrue="1" operator="equal">
      <formula>"must average at least 5 innings per start"</formula>
    </cfRule>
  </conditionalFormatting>
  <conditionalFormatting sqref="AK23">
    <cfRule type="cellIs" dxfId="3645" priority="126" stopIfTrue="1" operator="equal">
      <formula>"must have 162 starts"</formula>
    </cfRule>
  </conditionalFormatting>
  <conditionalFormatting sqref="AH3:AH22">
    <cfRule type="cellIs" dxfId="3644" priority="125" stopIfTrue="1" operator="equal">
      <formula>"must average at least 5 innings per start"</formula>
    </cfRule>
  </conditionalFormatting>
  <conditionalFormatting sqref="AH23">
    <cfRule type="cellIs" dxfId="3643" priority="124" stopIfTrue="1" operator="equal">
      <formula>"must have 162 starts"</formula>
    </cfRule>
  </conditionalFormatting>
  <conditionalFormatting sqref="AG3:AG22">
    <cfRule type="cellIs" dxfId="3642" priority="123" stopIfTrue="1" operator="equal">
      <formula>"must average at least 5 innings per start"</formula>
    </cfRule>
  </conditionalFormatting>
  <conditionalFormatting sqref="AG23">
    <cfRule type="cellIs" dxfId="3641" priority="122" stopIfTrue="1" operator="equal">
      <formula>"must have 162 starts"</formula>
    </cfRule>
  </conditionalFormatting>
  <conditionalFormatting sqref="AK3:AK22">
    <cfRule type="cellIs" dxfId="3640" priority="121" stopIfTrue="1" operator="equal">
      <formula>"must average at least 5 innings per start"</formula>
    </cfRule>
  </conditionalFormatting>
  <conditionalFormatting sqref="AK23">
    <cfRule type="cellIs" dxfId="3639" priority="120" stopIfTrue="1" operator="equal">
      <formula>"must have 162 starts"</formula>
    </cfRule>
  </conditionalFormatting>
  <conditionalFormatting sqref="AH3:AH22">
    <cfRule type="cellIs" dxfId="3638" priority="119" stopIfTrue="1" operator="equal">
      <formula>"must average at least 5 innings per start"</formula>
    </cfRule>
  </conditionalFormatting>
  <conditionalFormatting sqref="AH23">
    <cfRule type="cellIs" dxfId="3637" priority="118" stopIfTrue="1" operator="equal">
      <formula>"must have 162 starts"</formula>
    </cfRule>
  </conditionalFormatting>
  <conditionalFormatting sqref="AG3:AG22">
    <cfRule type="cellIs" dxfId="3636" priority="117" stopIfTrue="1" operator="equal">
      <formula>"must average at least 5 innings per start"</formula>
    </cfRule>
  </conditionalFormatting>
  <conditionalFormatting sqref="AG23">
    <cfRule type="cellIs" dxfId="3635" priority="116" stopIfTrue="1" operator="equal">
      <formula>"must have 162 starts"</formula>
    </cfRule>
  </conditionalFormatting>
  <conditionalFormatting sqref="AK3:AK22">
    <cfRule type="cellIs" dxfId="3634" priority="115" stopIfTrue="1" operator="equal">
      <formula>"must average at least 5 innings per start"</formula>
    </cfRule>
  </conditionalFormatting>
  <conditionalFormatting sqref="AK23">
    <cfRule type="cellIs" dxfId="3633" priority="114" stopIfTrue="1" operator="equal">
      <formula>"must have 162 starts"</formula>
    </cfRule>
  </conditionalFormatting>
  <conditionalFormatting sqref="AH3:AH22">
    <cfRule type="cellIs" dxfId="3632" priority="113" stopIfTrue="1" operator="equal">
      <formula>"must average at least 5 innings per start"</formula>
    </cfRule>
  </conditionalFormatting>
  <conditionalFormatting sqref="AH23">
    <cfRule type="cellIs" dxfId="3631" priority="112" stopIfTrue="1" operator="equal">
      <formula>"must have 162 starts"</formula>
    </cfRule>
  </conditionalFormatting>
  <conditionalFormatting sqref="AG3:AG22">
    <cfRule type="cellIs" dxfId="3630" priority="111" stopIfTrue="1" operator="equal">
      <formula>"must average at least 5 innings per start"</formula>
    </cfRule>
  </conditionalFormatting>
  <conditionalFormatting sqref="AG23">
    <cfRule type="cellIs" dxfId="3629" priority="110" stopIfTrue="1" operator="equal">
      <formula>"must have 162 starts"</formula>
    </cfRule>
  </conditionalFormatting>
  <conditionalFormatting sqref="AK3:AK22">
    <cfRule type="cellIs" dxfId="3628" priority="109" stopIfTrue="1" operator="equal">
      <formula>"must average at least 5 innings per start"</formula>
    </cfRule>
  </conditionalFormatting>
  <conditionalFormatting sqref="AK23">
    <cfRule type="cellIs" dxfId="3627" priority="108" stopIfTrue="1" operator="equal">
      <formula>"must have 162 starts"</formula>
    </cfRule>
  </conditionalFormatting>
  <conditionalFormatting sqref="AH3:AH22">
    <cfRule type="cellIs" dxfId="3626" priority="107" stopIfTrue="1" operator="equal">
      <formula>"must average at least 5 innings per start"</formula>
    </cfRule>
  </conditionalFormatting>
  <conditionalFormatting sqref="AH23">
    <cfRule type="cellIs" dxfId="3625" priority="106" stopIfTrue="1" operator="equal">
      <formula>"must have 162 starts"</formula>
    </cfRule>
  </conditionalFormatting>
  <conditionalFormatting sqref="AG3:AG22">
    <cfRule type="cellIs" dxfId="3624" priority="105" stopIfTrue="1" operator="equal">
      <formula>"must average at least 5 innings per start"</formula>
    </cfRule>
  </conditionalFormatting>
  <conditionalFormatting sqref="AG23">
    <cfRule type="cellIs" dxfId="3623" priority="104" stopIfTrue="1" operator="equal">
      <formula>"must have 162 starts"</formula>
    </cfRule>
  </conditionalFormatting>
  <conditionalFormatting sqref="AG3:AG22">
    <cfRule type="cellIs" dxfId="3622" priority="103" stopIfTrue="1" operator="equal">
      <formula>"must average at least 5 innings per start"</formula>
    </cfRule>
  </conditionalFormatting>
  <conditionalFormatting sqref="AG23">
    <cfRule type="cellIs" dxfId="3621" priority="102" stopIfTrue="1" operator="equal">
      <formula>"must have 162 starts"</formula>
    </cfRule>
  </conditionalFormatting>
  <conditionalFormatting sqref="AK3:AK22">
    <cfRule type="cellIs" dxfId="3620" priority="101" stopIfTrue="1" operator="equal">
      <formula>"must average at least 5 innings per start"</formula>
    </cfRule>
  </conditionalFormatting>
  <conditionalFormatting sqref="AK23">
    <cfRule type="cellIs" dxfId="3619" priority="100" stopIfTrue="1" operator="equal">
      <formula>"must have 162 starts"</formula>
    </cfRule>
  </conditionalFormatting>
  <conditionalFormatting sqref="AK3:AK22">
    <cfRule type="cellIs" dxfId="3618" priority="99" stopIfTrue="1" operator="equal">
      <formula>"must average at least 5 innings per start"</formula>
    </cfRule>
  </conditionalFormatting>
  <conditionalFormatting sqref="AK23">
    <cfRule type="cellIs" dxfId="3617" priority="98" stopIfTrue="1" operator="equal">
      <formula>"must have 162 starts"</formula>
    </cfRule>
  </conditionalFormatting>
  <conditionalFormatting sqref="AK3:AK22">
    <cfRule type="cellIs" dxfId="3616" priority="97" stopIfTrue="1" operator="equal">
      <formula>"must average at least 5 innings per start"</formula>
    </cfRule>
  </conditionalFormatting>
  <conditionalFormatting sqref="AK23">
    <cfRule type="cellIs" dxfId="3615" priority="96" stopIfTrue="1" operator="equal">
      <formula>"must have 162 starts"</formula>
    </cfRule>
  </conditionalFormatting>
  <conditionalFormatting sqref="AK3:AK22">
    <cfRule type="cellIs" dxfId="3614" priority="95" stopIfTrue="1" operator="equal">
      <formula>"must average at least 5 innings per start"</formula>
    </cfRule>
  </conditionalFormatting>
  <conditionalFormatting sqref="AK23">
    <cfRule type="cellIs" dxfId="3613" priority="94" stopIfTrue="1" operator="equal">
      <formula>"must have 162 starts"</formula>
    </cfRule>
  </conditionalFormatting>
  <conditionalFormatting sqref="AK3:AK22">
    <cfRule type="cellIs" dxfId="3612" priority="93" stopIfTrue="1" operator="equal">
      <formula>"must average at least 5 innings per start"</formula>
    </cfRule>
  </conditionalFormatting>
  <conditionalFormatting sqref="AK23">
    <cfRule type="cellIs" dxfId="3611" priority="92" stopIfTrue="1" operator="equal">
      <formula>"must have 162 starts"</formula>
    </cfRule>
  </conditionalFormatting>
  <conditionalFormatting sqref="AK3:AK22">
    <cfRule type="cellIs" dxfId="3610" priority="91" stopIfTrue="1" operator="equal">
      <formula>"must average at least 5 innings per start"</formula>
    </cfRule>
  </conditionalFormatting>
  <conditionalFormatting sqref="AK23">
    <cfRule type="cellIs" dxfId="3609" priority="90" stopIfTrue="1" operator="equal">
      <formula>"must have 162 starts"</formula>
    </cfRule>
  </conditionalFormatting>
  <conditionalFormatting sqref="AK3:AK22">
    <cfRule type="cellIs" dxfId="3608" priority="89" stopIfTrue="1" operator="equal">
      <formula>"must average at least 5 innings per start"</formula>
    </cfRule>
  </conditionalFormatting>
  <conditionalFormatting sqref="AK23">
    <cfRule type="cellIs" dxfId="3607" priority="88" stopIfTrue="1" operator="equal">
      <formula>"must have 162 starts"</formula>
    </cfRule>
  </conditionalFormatting>
  <conditionalFormatting sqref="AH3:AH22">
    <cfRule type="cellIs" dxfId="3606" priority="87" stopIfTrue="1" operator="equal">
      <formula>"must average at least 5 innings per start"</formula>
    </cfRule>
  </conditionalFormatting>
  <conditionalFormatting sqref="AH23">
    <cfRule type="cellIs" dxfId="3605" priority="86" stopIfTrue="1" operator="equal">
      <formula>"must have 162 starts"</formula>
    </cfRule>
  </conditionalFormatting>
  <conditionalFormatting sqref="AG3:AG22">
    <cfRule type="cellIs" dxfId="3604" priority="85" stopIfTrue="1" operator="equal">
      <formula>"must average at least 5 innings per start"</formula>
    </cfRule>
  </conditionalFormatting>
  <conditionalFormatting sqref="AG23">
    <cfRule type="cellIs" dxfId="3603" priority="84" stopIfTrue="1" operator="equal">
      <formula>"must have 162 starts"</formula>
    </cfRule>
  </conditionalFormatting>
  <conditionalFormatting sqref="AK3:AK22">
    <cfRule type="cellIs" dxfId="3602" priority="83" stopIfTrue="1" operator="equal">
      <formula>"must average at least 5 innings per start"</formula>
    </cfRule>
  </conditionalFormatting>
  <conditionalFormatting sqref="AK23">
    <cfRule type="cellIs" dxfId="3601" priority="82" stopIfTrue="1" operator="equal">
      <formula>"must have 162 starts"</formula>
    </cfRule>
  </conditionalFormatting>
  <conditionalFormatting sqref="AK3:AK22">
    <cfRule type="cellIs" dxfId="3600" priority="81" stopIfTrue="1" operator="equal">
      <formula>"must average at least 5 innings per start"</formula>
    </cfRule>
  </conditionalFormatting>
  <conditionalFormatting sqref="AK23">
    <cfRule type="cellIs" dxfId="3599" priority="80" stopIfTrue="1" operator="equal">
      <formula>"must have 162 starts"</formula>
    </cfRule>
  </conditionalFormatting>
  <conditionalFormatting sqref="AK3:AK22">
    <cfRule type="cellIs" dxfId="3598" priority="79" stopIfTrue="1" operator="equal">
      <formula>"must average at least 5 innings per start"</formula>
    </cfRule>
  </conditionalFormatting>
  <conditionalFormatting sqref="AK23">
    <cfRule type="cellIs" dxfId="3597" priority="78" stopIfTrue="1" operator="equal">
      <formula>"must have 162 starts"</formula>
    </cfRule>
  </conditionalFormatting>
  <conditionalFormatting sqref="AK3:AK22">
    <cfRule type="cellIs" dxfId="3596" priority="77" stopIfTrue="1" operator="equal">
      <formula>"must average at least 5 innings per start"</formula>
    </cfRule>
  </conditionalFormatting>
  <conditionalFormatting sqref="AK23">
    <cfRule type="cellIs" dxfId="3595" priority="76" stopIfTrue="1" operator="equal">
      <formula>"must have 162 starts"</formula>
    </cfRule>
  </conditionalFormatting>
  <conditionalFormatting sqref="AK3:AK22">
    <cfRule type="cellIs" dxfId="3594" priority="75" stopIfTrue="1" operator="equal">
      <formula>"must average at least 5 innings per start"</formula>
    </cfRule>
  </conditionalFormatting>
  <conditionalFormatting sqref="AK23">
    <cfRule type="cellIs" dxfId="3593" priority="74" stopIfTrue="1" operator="equal">
      <formula>"must have 162 starts"</formula>
    </cfRule>
  </conditionalFormatting>
  <conditionalFormatting sqref="AK3:AK22">
    <cfRule type="cellIs" dxfId="3592" priority="73" stopIfTrue="1" operator="equal">
      <formula>"must average at least 5 innings per start"</formula>
    </cfRule>
  </conditionalFormatting>
  <conditionalFormatting sqref="AK23">
    <cfRule type="cellIs" dxfId="3591" priority="72" stopIfTrue="1" operator="equal">
      <formula>"must have 162 starts"</formula>
    </cfRule>
  </conditionalFormatting>
  <conditionalFormatting sqref="AK3:AK22">
    <cfRule type="cellIs" dxfId="3590" priority="71" stopIfTrue="1" operator="equal">
      <formula>"must average at least 5 innings per start"</formula>
    </cfRule>
  </conditionalFormatting>
  <conditionalFormatting sqref="AK23">
    <cfRule type="cellIs" dxfId="3589" priority="70" stopIfTrue="1" operator="equal">
      <formula>"must have 162 starts"</formula>
    </cfRule>
  </conditionalFormatting>
  <conditionalFormatting sqref="AK3:AK22">
    <cfRule type="cellIs" dxfId="3588" priority="69" stopIfTrue="1" operator="equal">
      <formula>"must average at least 5 innings per start"</formula>
    </cfRule>
  </conditionalFormatting>
  <conditionalFormatting sqref="AK23">
    <cfRule type="cellIs" dxfId="3587" priority="68" stopIfTrue="1" operator="equal">
      <formula>"must have 162 starts"</formula>
    </cfRule>
  </conditionalFormatting>
  <conditionalFormatting sqref="AG3:AG22">
    <cfRule type="cellIs" dxfId="3586" priority="67" stopIfTrue="1" operator="equal">
      <formula>"must average at least 5 innings per start"</formula>
    </cfRule>
  </conditionalFormatting>
  <conditionalFormatting sqref="AG23">
    <cfRule type="cellIs" dxfId="3585" priority="66" stopIfTrue="1" operator="equal">
      <formula>"must have 162 starts"</formula>
    </cfRule>
  </conditionalFormatting>
  <conditionalFormatting sqref="AK3:AK22">
    <cfRule type="cellIs" dxfId="3584" priority="65" stopIfTrue="1" operator="equal">
      <formula>"must average at least 5 innings per start"</formula>
    </cfRule>
  </conditionalFormatting>
  <conditionalFormatting sqref="AK23">
    <cfRule type="cellIs" dxfId="3583" priority="64" stopIfTrue="1" operator="equal">
      <formula>"must have 162 starts"</formula>
    </cfRule>
  </conditionalFormatting>
  <conditionalFormatting sqref="AK3:AK22">
    <cfRule type="cellIs" dxfId="3582" priority="63" stopIfTrue="1" operator="equal">
      <formula>"must average at least 5 innings per start"</formula>
    </cfRule>
  </conditionalFormatting>
  <conditionalFormatting sqref="AK23">
    <cfRule type="cellIs" dxfId="3581" priority="62" stopIfTrue="1" operator="equal">
      <formula>"must have 162 starts"</formula>
    </cfRule>
  </conditionalFormatting>
  <conditionalFormatting sqref="AK3:AK22">
    <cfRule type="cellIs" dxfId="3580" priority="61" stopIfTrue="1" operator="equal">
      <formula>"must average at least 5 innings per start"</formula>
    </cfRule>
  </conditionalFormatting>
  <conditionalFormatting sqref="AK23">
    <cfRule type="cellIs" dxfId="3579" priority="60" stopIfTrue="1" operator="equal">
      <formula>"must have 162 starts"</formula>
    </cfRule>
  </conditionalFormatting>
  <conditionalFormatting sqref="AK3:AK22">
    <cfRule type="cellIs" dxfId="3578" priority="59" stopIfTrue="1" operator="equal">
      <formula>"must average at least 5 innings per start"</formula>
    </cfRule>
  </conditionalFormatting>
  <conditionalFormatting sqref="AK23">
    <cfRule type="cellIs" dxfId="3577" priority="58" stopIfTrue="1" operator="equal">
      <formula>"must have 162 starts"</formula>
    </cfRule>
  </conditionalFormatting>
  <conditionalFormatting sqref="AK3:AK22">
    <cfRule type="cellIs" dxfId="3576" priority="57" stopIfTrue="1" operator="equal">
      <formula>"must average at least 5 innings per start"</formula>
    </cfRule>
  </conditionalFormatting>
  <conditionalFormatting sqref="AK23">
    <cfRule type="cellIs" dxfId="3575" priority="56" stopIfTrue="1" operator="equal">
      <formula>"must have 162 starts"</formula>
    </cfRule>
  </conditionalFormatting>
  <conditionalFormatting sqref="AK3:AK22">
    <cfRule type="cellIs" dxfId="3574" priority="55" stopIfTrue="1" operator="equal">
      <formula>"must average at least 5 innings per start"</formula>
    </cfRule>
  </conditionalFormatting>
  <conditionalFormatting sqref="AK23">
    <cfRule type="cellIs" dxfId="3573" priority="54" stopIfTrue="1" operator="equal">
      <formula>"must have 162 starts"</formula>
    </cfRule>
  </conditionalFormatting>
  <conditionalFormatting sqref="AK3:AK22">
    <cfRule type="cellIs" dxfId="3572" priority="53" stopIfTrue="1" operator="equal">
      <formula>"must average at least 5 innings per start"</formula>
    </cfRule>
  </conditionalFormatting>
  <conditionalFormatting sqref="AK23">
    <cfRule type="cellIs" dxfId="3571" priority="52" stopIfTrue="1" operator="equal">
      <formula>"must have 162 starts"</formula>
    </cfRule>
  </conditionalFormatting>
  <conditionalFormatting sqref="AG3:AG22">
    <cfRule type="cellIs" dxfId="3570" priority="51" stopIfTrue="1" operator="equal">
      <formula>"must average at least 5 innings per start"</formula>
    </cfRule>
  </conditionalFormatting>
  <conditionalFormatting sqref="AG23">
    <cfRule type="cellIs" dxfId="3569" priority="50" stopIfTrue="1" operator="equal">
      <formula>"must have 162 starts"</formula>
    </cfRule>
  </conditionalFormatting>
  <conditionalFormatting sqref="AK3:AK22">
    <cfRule type="cellIs" dxfId="3568" priority="49" stopIfTrue="1" operator="equal">
      <formula>"must average at least 5 innings per start"</formula>
    </cfRule>
  </conditionalFormatting>
  <conditionalFormatting sqref="AK23">
    <cfRule type="cellIs" dxfId="3567" priority="48" stopIfTrue="1" operator="equal">
      <formula>"must have 162 starts"</formula>
    </cfRule>
  </conditionalFormatting>
  <conditionalFormatting sqref="AK3:AK22">
    <cfRule type="cellIs" dxfId="3566" priority="47" stopIfTrue="1" operator="equal">
      <formula>"must average at least 5 innings per start"</formula>
    </cfRule>
  </conditionalFormatting>
  <conditionalFormatting sqref="AK23">
    <cfRule type="cellIs" dxfId="3565" priority="46" stopIfTrue="1" operator="equal">
      <formula>"must have 162 starts"</formula>
    </cfRule>
  </conditionalFormatting>
  <conditionalFormatting sqref="AK3:AK22">
    <cfRule type="cellIs" dxfId="3564" priority="45" stopIfTrue="1" operator="equal">
      <formula>"must average at least 5 innings per start"</formula>
    </cfRule>
  </conditionalFormatting>
  <conditionalFormatting sqref="AK23">
    <cfRule type="cellIs" dxfId="3563" priority="44" stopIfTrue="1" operator="equal">
      <formula>"must have 162 starts"</formula>
    </cfRule>
  </conditionalFormatting>
  <conditionalFormatting sqref="AK3:AK22">
    <cfRule type="cellIs" dxfId="3562" priority="43" stopIfTrue="1" operator="equal">
      <formula>"must average at least 5 innings per start"</formula>
    </cfRule>
  </conditionalFormatting>
  <conditionalFormatting sqref="AK23">
    <cfRule type="cellIs" dxfId="3561" priority="42" stopIfTrue="1" operator="equal">
      <formula>"must have 162 starts"</formula>
    </cfRule>
  </conditionalFormatting>
  <conditionalFormatting sqref="AK3:AK22">
    <cfRule type="cellIs" dxfId="3560" priority="41" stopIfTrue="1" operator="equal">
      <formula>"must average at least 5 innings per start"</formula>
    </cfRule>
  </conditionalFormatting>
  <conditionalFormatting sqref="AK23">
    <cfRule type="cellIs" dxfId="3559" priority="40" stopIfTrue="1" operator="equal">
      <formula>"must have 162 starts"</formula>
    </cfRule>
  </conditionalFormatting>
  <conditionalFormatting sqref="AK3:AK22">
    <cfRule type="cellIs" dxfId="3558" priority="39" stopIfTrue="1" operator="equal">
      <formula>"must average at least 5 innings per start"</formula>
    </cfRule>
  </conditionalFormatting>
  <conditionalFormatting sqref="AK23">
    <cfRule type="cellIs" dxfId="3557" priority="38" stopIfTrue="1" operator="equal">
      <formula>"must have 162 starts"</formula>
    </cfRule>
  </conditionalFormatting>
  <conditionalFormatting sqref="AG3:AG22">
    <cfRule type="cellIs" dxfId="3556" priority="37" stopIfTrue="1" operator="equal">
      <formula>"must average at least 5 innings per start"</formula>
    </cfRule>
  </conditionalFormatting>
  <conditionalFormatting sqref="AG23">
    <cfRule type="cellIs" dxfId="3555" priority="36" stopIfTrue="1" operator="equal">
      <formula>"must have 162 starts"</formula>
    </cfRule>
  </conditionalFormatting>
  <conditionalFormatting sqref="AK3:AK22">
    <cfRule type="cellIs" dxfId="3554" priority="35" stopIfTrue="1" operator="equal">
      <formula>"must average at least 5 innings per start"</formula>
    </cfRule>
  </conditionalFormatting>
  <conditionalFormatting sqref="AK23">
    <cfRule type="cellIs" dxfId="3553" priority="34" stopIfTrue="1" operator="equal">
      <formula>"must have 162 starts"</formula>
    </cfRule>
  </conditionalFormatting>
  <conditionalFormatting sqref="AK3:AK22">
    <cfRule type="cellIs" dxfId="3552" priority="33" stopIfTrue="1" operator="equal">
      <formula>"must average at least 5 innings per start"</formula>
    </cfRule>
  </conditionalFormatting>
  <conditionalFormatting sqref="AK23">
    <cfRule type="cellIs" dxfId="3551" priority="32" stopIfTrue="1" operator="equal">
      <formula>"must have 162 starts"</formula>
    </cfRule>
  </conditionalFormatting>
  <conditionalFormatting sqref="AK3:AK22">
    <cfRule type="cellIs" dxfId="3550" priority="31" stopIfTrue="1" operator="equal">
      <formula>"must average at least 5 innings per start"</formula>
    </cfRule>
  </conditionalFormatting>
  <conditionalFormatting sqref="AK23">
    <cfRule type="cellIs" dxfId="3549" priority="30" stopIfTrue="1" operator="equal">
      <formula>"must have 162 starts"</formula>
    </cfRule>
  </conditionalFormatting>
  <conditionalFormatting sqref="AK3:AK22">
    <cfRule type="cellIs" dxfId="3548" priority="29" stopIfTrue="1" operator="equal">
      <formula>"must average at least 5 innings per start"</formula>
    </cfRule>
  </conditionalFormatting>
  <conditionalFormatting sqref="AK23">
    <cfRule type="cellIs" dxfId="3547" priority="28" stopIfTrue="1" operator="equal">
      <formula>"must have 162 starts"</formula>
    </cfRule>
  </conditionalFormatting>
  <conditionalFormatting sqref="AK3:AK22">
    <cfRule type="cellIs" dxfId="3546" priority="27" stopIfTrue="1" operator="equal">
      <formula>"must average at least 5 innings per start"</formula>
    </cfRule>
  </conditionalFormatting>
  <conditionalFormatting sqref="AK23">
    <cfRule type="cellIs" dxfId="3545" priority="26" stopIfTrue="1" operator="equal">
      <formula>"must have 162 starts"</formula>
    </cfRule>
  </conditionalFormatting>
  <conditionalFormatting sqref="AG3:AG22">
    <cfRule type="cellIs" dxfId="3544" priority="25" stopIfTrue="1" operator="equal">
      <formula>"must average at least 5 innings per start"</formula>
    </cfRule>
  </conditionalFormatting>
  <conditionalFormatting sqref="AG23">
    <cfRule type="cellIs" dxfId="3543" priority="24" stopIfTrue="1" operator="equal">
      <formula>"must have 162 starts"</formula>
    </cfRule>
  </conditionalFormatting>
  <conditionalFormatting sqref="AK3:AK22">
    <cfRule type="cellIs" dxfId="3542" priority="23" stopIfTrue="1" operator="equal">
      <formula>"must average at least 5 innings per start"</formula>
    </cfRule>
  </conditionalFormatting>
  <conditionalFormatting sqref="AK23">
    <cfRule type="cellIs" dxfId="3541" priority="22" stopIfTrue="1" operator="equal">
      <formula>"must have 162 starts"</formula>
    </cfRule>
  </conditionalFormatting>
  <conditionalFormatting sqref="AK3:AK22">
    <cfRule type="cellIs" dxfId="3540" priority="21" stopIfTrue="1" operator="equal">
      <formula>"must average at least 5 innings per start"</formula>
    </cfRule>
  </conditionalFormatting>
  <conditionalFormatting sqref="AK23">
    <cfRule type="cellIs" dxfId="3539" priority="20" stopIfTrue="1" operator="equal">
      <formula>"must have 162 starts"</formula>
    </cfRule>
  </conditionalFormatting>
  <conditionalFormatting sqref="AK3:AK22">
    <cfRule type="cellIs" dxfId="3538" priority="19" stopIfTrue="1" operator="equal">
      <formula>"must average at least 5 innings per start"</formula>
    </cfRule>
  </conditionalFormatting>
  <conditionalFormatting sqref="AK23">
    <cfRule type="cellIs" dxfId="3537" priority="18" stopIfTrue="1" operator="equal">
      <formula>"must have 162 starts"</formula>
    </cfRule>
  </conditionalFormatting>
  <conditionalFormatting sqref="AK3:AK22">
    <cfRule type="cellIs" dxfId="3536" priority="17" stopIfTrue="1" operator="equal">
      <formula>"must average at least 5 innings per start"</formula>
    </cfRule>
  </conditionalFormatting>
  <conditionalFormatting sqref="AK23">
    <cfRule type="cellIs" dxfId="3535" priority="16" stopIfTrue="1" operator="equal">
      <formula>"must have 162 starts"</formula>
    </cfRule>
  </conditionalFormatting>
  <conditionalFormatting sqref="AG3:AG22">
    <cfRule type="cellIs" dxfId="3534" priority="15" stopIfTrue="1" operator="equal">
      <formula>"must average at least 5 innings per start"</formula>
    </cfRule>
  </conditionalFormatting>
  <conditionalFormatting sqref="AG23">
    <cfRule type="cellIs" dxfId="3533" priority="14" stopIfTrue="1" operator="equal">
      <formula>"must have 162 starts"</formula>
    </cfRule>
  </conditionalFormatting>
  <conditionalFormatting sqref="AK3:AK22">
    <cfRule type="cellIs" dxfId="3532" priority="13" stopIfTrue="1" operator="equal">
      <formula>"must average at least 5 innings per start"</formula>
    </cfRule>
  </conditionalFormatting>
  <conditionalFormatting sqref="AK23">
    <cfRule type="cellIs" dxfId="3531" priority="12" stopIfTrue="1" operator="equal">
      <formula>"must have 162 starts"</formula>
    </cfRule>
  </conditionalFormatting>
  <conditionalFormatting sqref="AK3:AK22">
    <cfRule type="cellIs" dxfId="3530" priority="11" stopIfTrue="1" operator="equal">
      <formula>"must average at least 5 innings per start"</formula>
    </cfRule>
  </conditionalFormatting>
  <conditionalFormatting sqref="AK23">
    <cfRule type="cellIs" dxfId="3529" priority="10" stopIfTrue="1" operator="equal">
      <formula>"must have 162 starts"</formula>
    </cfRule>
  </conditionalFormatting>
  <conditionalFormatting sqref="AK3:AK22">
    <cfRule type="cellIs" dxfId="3528" priority="9" stopIfTrue="1" operator="equal">
      <formula>"must average at least 5 innings per start"</formula>
    </cfRule>
  </conditionalFormatting>
  <conditionalFormatting sqref="AK23">
    <cfRule type="cellIs" dxfId="3527" priority="8" stopIfTrue="1" operator="equal">
      <formula>"must have 162 starts"</formula>
    </cfRule>
  </conditionalFormatting>
  <conditionalFormatting sqref="AG3:AG22">
    <cfRule type="cellIs" dxfId="3526" priority="7" stopIfTrue="1" operator="equal">
      <formula>"must average at least 5 innings per start"</formula>
    </cfRule>
  </conditionalFormatting>
  <conditionalFormatting sqref="AG23">
    <cfRule type="cellIs" dxfId="3525" priority="6" stopIfTrue="1" operator="equal">
      <formula>"must have 162 starts"</formula>
    </cfRule>
  </conditionalFormatting>
  <conditionalFormatting sqref="AK3:AK22">
    <cfRule type="cellIs" dxfId="3524" priority="5" stopIfTrue="1" operator="equal">
      <formula>"must average at least 5 innings per start"</formula>
    </cfRule>
  </conditionalFormatting>
  <conditionalFormatting sqref="AK23">
    <cfRule type="cellIs" dxfId="3523" priority="4" stopIfTrue="1" operator="equal">
      <formula>"must have 162 starts"</formula>
    </cfRule>
  </conditionalFormatting>
  <conditionalFormatting sqref="AG3:AG22">
    <cfRule type="cellIs" dxfId="3522" priority="3" stopIfTrue="1" operator="equal">
      <formula>"must average at least 5 innings per start"</formula>
    </cfRule>
  </conditionalFormatting>
  <conditionalFormatting sqref="AG23">
    <cfRule type="cellIs" dxfId="3521" priority="2" stopIfTrue="1" operator="equal">
      <formula>"must have 162 starts"</formula>
    </cfRule>
  </conditionalFormatting>
  <conditionalFormatting sqref="Q2">
    <cfRule type="cellIs" dxfId="3520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6029" divId="ROTcheck_6029" sourceType="sheet" destinationFile="C:\1kading\schedule\skednyk.html"/>
    <webPublishItem id="14633" divId="ROTcheck_14633" sourceType="range" sourceRef="A1:O193" destinationFile="C:\1kading\schedule\skednyk.html"/>
    <webPublishItem id="26761" divId="ROTcheck_26761" sourceType="range" sourceRef="A156:O185" destinationFile="C:\1kading\schedule\skednyk.html"/>
  </webPublishItems>
</worksheet>
</file>

<file path=xl/worksheets/sheet19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2" customWidth="1"/>
    <col min="2" max="2" width="3.7109375" style="2" customWidth="1"/>
    <col min="3" max="3" width="5.85546875" style="2" customWidth="1"/>
    <col min="4" max="4" width="25.57031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25.57031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49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/>
      <c r="C3" s="33" t="s">
        <v>52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1631</v>
      </c>
      <c r="T3" s="46" t="str">
        <f>IF(ISERROR((VLOOKUP(S3,Pitchers!$B$1:H$800,4,FALSE))),"",(VLOOKUP(S3,Pitchers!$B$1:H$800,4,FALSE)))</f>
        <v>NYM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13</v>
      </c>
      <c r="X3" s="47">
        <f>IF(ISERROR((VLOOKUP(S3,Pitchers!B$2:AA$795,11,FALSE))),"",(VLOOKUP(S3,Pitchers!B$2:AA$795,11,FALSE)))</f>
        <v>190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NAS</v>
      </c>
    </row>
    <row r="4" spans="1:36" ht="12.75" customHeight="1">
      <c r="A4" s="6">
        <v>4.0199999999999996</v>
      </c>
      <c r="B4" s="33"/>
      <c r="C4" s="33" t="s">
        <v>52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670</v>
      </c>
      <c r="T4" s="46" t="str">
        <f>IF(ISERROR((VLOOKUP(S4,Pitchers!$B$1:H$800,4,FALSE))),"",(VLOOKUP(S4,Pitchers!$B$1:H$800,4,FALSE)))</f>
        <v>STL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13</v>
      </c>
      <c r="X4" s="47">
        <f>IF(ISERROR((VLOOKUP(S4,Pitchers!B$2:AA$795,11,FALSE))),"",(VLOOKUP(S4,Pitchers!B$2:AA$795,11,FALSE)))</f>
        <v>182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NAS</v>
      </c>
    </row>
    <row r="5" spans="1:36" ht="12.75" customHeight="1">
      <c r="A5" s="6">
        <v>4.03</v>
      </c>
      <c r="B5" s="33"/>
      <c r="C5" s="33" t="s">
        <v>52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540</v>
      </c>
      <c r="T5" s="46" t="str">
        <f>IF(ISERROR((VLOOKUP(S5,Pitchers!$B$1:H$800,4,FALSE))),"",(VLOOKUP(S5,Pitchers!$B$1:H$800,4,FALSE)))</f>
        <v>TBR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12</v>
      </c>
      <c r="X5" s="47">
        <f>IF(ISERROR((VLOOKUP(S5,Pitchers!B$2:AA$795,11,FALSE))),"",(VLOOKUP(S5,Pitchers!B$2:AA$795,11,FALSE)))</f>
        <v>170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NAS</v>
      </c>
    </row>
    <row r="6" spans="1:36" ht="12.75" customHeight="1">
      <c r="A6" s="6">
        <v>4.04</v>
      </c>
      <c r="B6" s="33"/>
      <c r="C6" s="33" t="s">
        <v>52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416</v>
      </c>
      <c r="T6" s="46" t="str">
        <f>IF(ISERROR((VLOOKUP(S6,Pitchers!$B$1:H$800,4,FALSE))),"",(VLOOKUP(S6,Pitchers!$B$1:H$800,4,FALSE)))</f>
        <v>BAL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8</v>
      </c>
      <c r="X6" s="47">
        <f>IF(ISERROR((VLOOKUP(S6,Pitchers!B$2:AA$795,11,FALSE))),"",(VLOOKUP(S6,Pitchers!B$2:AA$795,11,FALSE)))</f>
        <v>184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NAS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535</v>
      </c>
      <c r="T7" s="46" t="str">
        <f>IF(ISERROR((VLOOKUP(S7,Pitchers!$B$1:H$800,4,FALSE))),"",(VLOOKUP(S7,Pitchers!$B$1:H$800,4,FALSE)))</f>
        <v>TOT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6</v>
      </c>
      <c r="X7" s="47">
        <f>IF(ISERROR((VLOOKUP(S7,Pitchers!B$2:AA$795,11,FALSE))),"",(VLOOKUP(S7,Pitchers!B$2:AA$795,11,FALSE)))</f>
        <v>52</v>
      </c>
      <c r="Y7" s="48"/>
      <c r="Z7" s="49"/>
      <c r="AA7" s="50"/>
      <c r="AB7" s="51" t="str">
        <f>IF(ISERROR((VLOOKUP(S7,Pitchers!B$2:AA$795,16,FALSE))),"",(VLOOKUP(S7,Pitchers!B$2:AA$795,16,FALSE)))</f>
        <v>Y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 t="s">
        <v>32</v>
      </c>
      <c r="C8" s="33" t="s">
        <v>43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502</v>
      </c>
      <c r="T8" s="46" t="str">
        <f>IF(ISERROR((VLOOKUP(S8,Pitchers!$B$1:H$800,4,FALSE))),"",(VLOOKUP(S8,Pitchers!$B$1:H$800,4,FALSE)))</f>
        <v>TBR</v>
      </c>
      <c r="U8" s="45" t="str">
        <f>IF(ISERROR((VLOOKUP(S8,Pitchers!B$2:AA$795,10,FALSE))),"",(VLOOKUP(S8,Pitchers!B$2:AA$795,10,FALSE)))</f>
        <v>L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63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>L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NAS</v>
      </c>
    </row>
    <row r="9" spans="1:36" ht="12.75">
      <c r="A9" s="6">
        <v>4.07</v>
      </c>
      <c r="B9" s="33" t="s">
        <v>32</v>
      </c>
      <c r="C9" s="33" t="s">
        <v>43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1471</v>
      </c>
      <c r="T9" s="46" t="str">
        <f>IF(ISERROR((VLOOKUP(S9,Pitchers!$B$1:H$800,4,FALSE))),"",(VLOOKUP(S9,Pitchers!$B$1:H$800,4,FALSE)))</f>
        <v>TBR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36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NAS</v>
      </c>
    </row>
    <row r="10" spans="1:36" ht="12.75">
      <c r="A10" s="6">
        <v>4.08</v>
      </c>
      <c r="B10" s="33" t="s">
        <v>32</v>
      </c>
      <c r="C10" s="33" t="s">
        <v>43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1906</v>
      </c>
      <c r="T10" s="46" t="str">
        <f>IF(ISERROR((VLOOKUP(S10,Pitchers!$B$1:H$800,4,FALSE))),"",(VLOOKUP(S10,Pitchers!$B$1:H$800,4,FALSE)))</f>
        <v>HOU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2</v>
      </c>
      <c r="X10" s="47">
        <f>IF(ISERROR((VLOOKUP(S10,Pitchers!B$2:AA$795,11,FALSE))),"",(VLOOKUP(S10,Pitchers!B$2:AA$795,11,FALSE)))</f>
        <v>200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Y</v>
      </c>
      <c r="AC10" s="52" t="str">
        <f>IF(ISERROR((VLOOKUP(S10,Pitchers!B$2:AA$795,17,FALSE))),"",(VLOOKUP(S10,Pitchers!B$2:AA$795,17,FALSE)))</f>
        <v>W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NAS</v>
      </c>
    </row>
    <row r="11" spans="1:36" ht="12.75">
      <c r="A11" s="6">
        <v>4.09</v>
      </c>
      <c r="B11" s="33" t="s">
        <v>32</v>
      </c>
      <c r="C11" s="33" t="s">
        <v>43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/>
      <c r="T11" s="46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NAS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6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 t="s">
        <v>32</v>
      </c>
      <c r="C13" s="33" t="s">
        <v>53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NAS</v>
      </c>
    </row>
    <row r="14" spans="1:36" ht="12.75">
      <c r="A14" s="6">
        <v>4.12</v>
      </c>
      <c r="B14" s="33" t="s">
        <v>32</v>
      </c>
      <c r="C14" s="33" t="s">
        <v>53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NAS</v>
      </c>
    </row>
    <row r="15" spans="1:36" ht="12.75">
      <c r="A15" s="6">
        <v>4.13</v>
      </c>
      <c r="B15" s="33" t="s">
        <v>32</v>
      </c>
      <c r="C15" s="33" t="s">
        <v>53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NAS</v>
      </c>
    </row>
    <row r="16" spans="1:36" ht="12.75">
      <c r="A16" s="6">
        <v>4.1399999999999997</v>
      </c>
      <c r="B16" s="33" t="s">
        <v>32</v>
      </c>
      <c r="C16" s="33" t="s">
        <v>53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NAS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48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NAS</v>
      </c>
    </row>
    <row r="19" spans="1:36" ht="12.75">
      <c r="A19" s="6">
        <v>4.17</v>
      </c>
      <c r="B19" s="33"/>
      <c r="C19" s="33" t="s">
        <v>48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NAS</v>
      </c>
    </row>
    <row r="20" spans="1:36" ht="12.75">
      <c r="A20" s="6">
        <v>4.18</v>
      </c>
      <c r="B20" s="33"/>
      <c r="C20" s="33" t="s">
        <v>48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NAS</v>
      </c>
    </row>
    <row r="21" spans="1:36" ht="12.75">
      <c r="A21" s="6">
        <v>4.1900000000000004</v>
      </c>
      <c r="B21" s="33"/>
      <c r="C21" s="33" t="s">
        <v>48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NAS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33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NAS</v>
      </c>
    </row>
    <row r="24" spans="1:36" ht="12.75">
      <c r="A24" s="6">
        <v>4.22</v>
      </c>
      <c r="B24" s="33"/>
      <c r="C24" s="33" t="s">
        <v>33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NAS</v>
      </c>
    </row>
    <row r="25" spans="1:36" ht="12.75">
      <c r="A25" s="6">
        <v>4.2300000000000004</v>
      </c>
      <c r="B25" s="33"/>
      <c r="C25" s="33" t="s">
        <v>33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NAS</v>
      </c>
    </row>
    <row r="26" spans="1:36" ht="12.75">
      <c r="A26" s="6">
        <v>4.24</v>
      </c>
      <c r="B26" s="33"/>
      <c r="C26" s="33" t="s">
        <v>33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NAS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33" t="s">
        <v>42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NAS</v>
      </c>
    </row>
    <row r="29" spans="1:36" ht="12.75">
      <c r="A29" s="6">
        <v>4.2699999999999996</v>
      </c>
      <c r="B29" s="33" t="s">
        <v>32</v>
      </c>
      <c r="C29" s="33" t="s">
        <v>42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NAS</v>
      </c>
    </row>
    <row r="30" spans="1:36" ht="12.75">
      <c r="A30" s="6">
        <v>4.28</v>
      </c>
      <c r="B30" s="33" t="s">
        <v>32</v>
      </c>
      <c r="C30" s="33" t="s">
        <v>42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NAS</v>
      </c>
    </row>
    <row r="31" spans="1:36" ht="12.75">
      <c r="A31" s="6">
        <v>4.29</v>
      </c>
      <c r="B31" s="33" t="s">
        <v>32</v>
      </c>
      <c r="C31" s="33" t="s">
        <v>42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NAS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3"/>
      <c r="C33" s="33" t="s">
        <v>35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NAS</v>
      </c>
    </row>
    <row r="34" spans="1:36" ht="12.75">
      <c r="A34" s="6">
        <v>5.0199999999999996</v>
      </c>
      <c r="B34" s="33"/>
      <c r="C34" s="33" t="s">
        <v>35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NAS</v>
      </c>
    </row>
    <row r="35" spans="1:36" ht="12.75">
      <c r="A35" s="6">
        <v>5.03</v>
      </c>
      <c r="B35" s="33"/>
      <c r="C35" s="33" t="s">
        <v>35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NAS</v>
      </c>
    </row>
    <row r="36" spans="1:36" ht="12.75">
      <c r="A36" s="6">
        <v>5.04</v>
      </c>
      <c r="B36" s="33"/>
      <c r="C36" s="33" t="s">
        <v>35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NAS</v>
      </c>
    </row>
    <row r="37" spans="1:36" ht="12.75">
      <c r="A37" s="6">
        <v>5.05</v>
      </c>
      <c r="B37" s="32" t="s">
        <v>32</v>
      </c>
      <c r="C37" s="33" t="s">
        <v>40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NAS</v>
      </c>
    </row>
    <row r="38" spans="1:36" ht="12.75">
      <c r="A38" s="6">
        <v>5.0599999999999996</v>
      </c>
      <c r="B38" s="32" t="s">
        <v>32</v>
      </c>
      <c r="C38" s="33" t="s">
        <v>40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NAS</v>
      </c>
    </row>
    <row r="39" spans="1:36" ht="12.75">
      <c r="A39" s="6">
        <v>5.07</v>
      </c>
      <c r="B39" s="32" t="s">
        <v>32</v>
      </c>
      <c r="C39" s="33" t="s">
        <v>40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NAS</v>
      </c>
    </row>
    <row r="40" spans="1:36" ht="12.75">
      <c r="A40" s="6">
        <v>5.08</v>
      </c>
      <c r="B40" s="32" t="s">
        <v>32</v>
      </c>
      <c r="C40" s="33" t="s">
        <v>40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NAS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12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NAS</v>
      </c>
    </row>
    <row r="43" spans="1:36" ht="12.75">
      <c r="A43" s="6">
        <v>5.1100000000000003</v>
      </c>
      <c r="B43" s="33"/>
      <c r="C43" s="33" t="s">
        <v>12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NAS</v>
      </c>
    </row>
    <row r="44" spans="1:36" ht="12.75">
      <c r="A44" s="6">
        <v>5.12</v>
      </c>
      <c r="B44" s="33"/>
      <c r="C44" s="33" t="s">
        <v>12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NAS</v>
      </c>
    </row>
    <row r="45" spans="1:36" ht="12.75">
      <c r="A45" s="6">
        <v>5.13</v>
      </c>
      <c r="B45" s="33"/>
      <c r="C45" s="33" t="s">
        <v>12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NAS</v>
      </c>
    </row>
    <row r="46" spans="1:36" ht="12.75">
      <c r="A46" s="6">
        <v>5.14</v>
      </c>
      <c r="B46" s="33"/>
      <c r="C46" s="33" t="s">
        <v>13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NAS</v>
      </c>
    </row>
    <row r="47" spans="1:36" ht="12.75">
      <c r="A47" s="6">
        <v>5.15</v>
      </c>
      <c r="B47" s="33"/>
      <c r="C47" s="33" t="s">
        <v>13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NAS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/>
      <c r="C49" s="33" t="s">
        <v>13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NAS</v>
      </c>
    </row>
    <row r="50" spans="1:36" ht="12.75">
      <c r="A50" s="6">
        <v>5.18</v>
      </c>
      <c r="B50" s="33"/>
      <c r="C50" s="33" t="s">
        <v>13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NAS</v>
      </c>
    </row>
    <row r="51" spans="1:36" ht="12.75">
      <c r="A51" s="6">
        <v>5.19</v>
      </c>
      <c r="B51" s="33" t="s">
        <v>32</v>
      </c>
      <c r="C51" s="33" t="s">
        <v>51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NAS</v>
      </c>
    </row>
    <row r="52" spans="1:36" ht="12.75">
      <c r="A52" s="6">
        <v>5.2</v>
      </c>
      <c r="B52" s="33" t="s">
        <v>32</v>
      </c>
      <c r="C52" s="33" t="s">
        <v>51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NAS</v>
      </c>
    </row>
    <row r="53" spans="1:36" ht="12.75">
      <c r="A53" s="6">
        <v>5.21</v>
      </c>
      <c r="B53" s="33" t="s">
        <v>32</v>
      </c>
      <c r="C53" s="33" t="s">
        <v>51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NAS</v>
      </c>
    </row>
    <row r="54" spans="1:36" ht="12.75">
      <c r="A54" s="6">
        <v>5.22</v>
      </c>
      <c r="B54" s="33" t="s">
        <v>32</v>
      </c>
      <c r="C54" s="33" t="s">
        <v>51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NAS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1191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NAS</v>
      </c>
    </row>
    <row r="57" spans="1:36" ht="12.75">
      <c r="A57" s="6">
        <v>5.25</v>
      </c>
      <c r="B57" s="33" t="s">
        <v>32</v>
      </c>
      <c r="C57" s="33" t="s">
        <v>1191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NAS</v>
      </c>
    </row>
    <row r="58" spans="1:36" ht="12.75">
      <c r="A58" s="6">
        <v>5.26</v>
      </c>
      <c r="B58" s="33" t="s">
        <v>32</v>
      </c>
      <c r="C58" s="33" t="s">
        <v>1191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NAS</v>
      </c>
    </row>
    <row r="59" spans="1:36" ht="12.75">
      <c r="A59" s="6">
        <v>5.27</v>
      </c>
      <c r="B59" s="33" t="s">
        <v>32</v>
      </c>
      <c r="C59" s="33" t="s">
        <v>1191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NAS</v>
      </c>
    </row>
    <row r="60" spans="1:36" ht="12.75">
      <c r="A60" s="6">
        <v>5.28</v>
      </c>
      <c r="B60" s="33"/>
      <c r="C60" s="33" t="s">
        <v>54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NAS</v>
      </c>
    </row>
    <row r="61" spans="1:36" ht="12.75">
      <c r="A61" s="6">
        <v>5.29</v>
      </c>
      <c r="B61" s="33"/>
      <c r="C61" s="33" t="s">
        <v>54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NAS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3"/>
      <c r="C63" s="33" t="s">
        <v>54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NAS</v>
      </c>
    </row>
    <row r="64" spans="1:36" ht="12.75">
      <c r="A64" s="6">
        <v>6.01</v>
      </c>
      <c r="B64" s="33"/>
      <c r="C64" s="33" t="s">
        <v>39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NAS</v>
      </c>
    </row>
    <row r="65" spans="1:36" ht="12.75">
      <c r="A65" s="6">
        <v>6.02</v>
      </c>
      <c r="B65" s="33"/>
      <c r="C65" s="33" t="s">
        <v>39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NAS</v>
      </c>
    </row>
    <row r="66" spans="1:36" ht="12.75">
      <c r="A66" s="6">
        <v>6.03</v>
      </c>
      <c r="B66" s="33"/>
      <c r="C66" s="33" t="s">
        <v>39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NAS</v>
      </c>
    </row>
    <row r="67" spans="1:36" ht="12.75">
      <c r="A67" s="6">
        <v>6.04</v>
      </c>
      <c r="B67" s="33"/>
      <c r="C67" s="33" t="s">
        <v>39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NAS</v>
      </c>
    </row>
    <row r="68" spans="1:36" ht="12.75">
      <c r="A68" s="6">
        <v>6.05</v>
      </c>
      <c r="B68" s="32" t="s">
        <v>32</v>
      </c>
      <c r="C68" s="33" t="s">
        <v>15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NAS</v>
      </c>
    </row>
    <row r="69" spans="1:36" ht="12.75">
      <c r="A69" s="6">
        <v>6.06</v>
      </c>
      <c r="B69" s="32" t="s">
        <v>32</v>
      </c>
      <c r="C69" s="33" t="s">
        <v>15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NAS</v>
      </c>
    </row>
    <row r="70" spans="1:36" ht="12.75">
      <c r="A70" s="6">
        <v>6.07</v>
      </c>
      <c r="B70" s="32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2" t="s">
        <v>32</v>
      </c>
      <c r="C71" s="33" t="s">
        <v>15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NAS</v>
      </c>
    </row>
    <row r="72" spans="1:36" ht="12.75">
      <c r="A72" s="6">
        <v>6.09</v>
      </c>
      <c r="B72" s="32" t="s">
        <v>32</v>
      </c>
      <c r="C72" s="33" t="s">
        <v>15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NAS</v>
      </c>
    </row>
    <row r="73" spans="1:36" ht="12.75">
      <c r="A73" s="6">
        <v>6.1</v>
      </c>
      <c r="B73" s="33" t="s">
        <v>32</v>
      </c>
      <c r="C73" s="33" t="s">
        <v>41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NAS</v>
      </c>
    </row>
    <row r="74" spans="1:36" ht="12.75">
      <c r="A74" s="6">
        <v>6.11</v>
      </c>
      <c r="B74" s="33" t="s">
        <v>32</v>
      </c>
      <c r="C74" s="33" t="s">
        <v>41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NAS</v>
      </c>
    </row>
    <row r="75" spans="1:36" ht="12.75">
      <c r="A75" s="6">
        <v>6.12</v>
      </c>
      <c r="B75" s="33" t="s">
        <v>32</v>
      </c>
      <c r="C75" s="33" t="s">
        <v>41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NAS</v>
      </c>
    </row>
    <row r="76" spans="1:36" ht="12.75">
      <c r="A76" s="6">
        <v>6.13</v>
      </c>
      <c r="B76" s="33" t="s">
        <v>32</v>
      </c>
      <c r="C76" s="33" t="s">
        <v>41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NAS</v>
      </c>
    </row>
    <row r="77" spans="1:36" ht="12.75">
      <c r="A77" s="6">
        <v>6.14</v>
      </c>
      <c r="B77" s="33"/>
      <c r="C77" s="33" t="s">
        <v>44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NAS</v>
      </c>
    </row>
    <row r="78" spans="1:36" ht="12.75">
      <c r="A78" s="6">
        <v>6.15</v>
      </c>
      <c r="B78" s="33"/>
      <c r="C78" s="33" t="s">
        <v>44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NAS</v>
      </c>
    </row>
    <row r="79" spans="1:36" ht="12.75">
      <c r="A79" s="6">
        <v>6.16</v>
      </c>
      <c r="B79" s="33"/>
      <c r="C79" s="33" t="s">
        <v>44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NAS</v>
      </c>
    </row>
    <row r="80" spans="1:36" ht="12.75">
      <c r="A80" s="6">
        <v>6.17</v>
      </c>
      <c r="B80" s="33"/>
      <c r="C80" s="33" t="s">
        <v>44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NAS</v>
      </c>
    </row>
    <row r="81" spans="1:36" ht="12.75">
      <c r="A81" s="6">
        <v>6.18</v>
      </c>
      <c r="B81" s="33"/>
      <c r="C81" s="33" t="s">
        <v>1917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NAS</v>
      </c>
    </row>
    <row r="82" spans="1:36" ht="12.75">
      <c r="A82" s="6">
        <v>6.19</v>
      </c>
      <c r="B82" s="33"/>
      <c r="C82" s="33" t="s">
        <v>1917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NAS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3"/>
      <c r="C84" s="33" t="s">
        <v>1917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NAS</v>
      </c>
    </row>
    <row r="85" spans="1:36" ht="12.75">
      <c r="A85" s="6">
        <v>6.22</v>
      </c>
      <c r="B85" s="33"/>
      <c r="C85" s="33" t="s">
        <v>1917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NAS</v>
      </c>
    </row>
    <row r="86" spans="1:36" ht="12.75">
      <c r="A86" s="6">
        <v>6.23</v>
      </c>
      <c r="B86" s="33"/>
      <c r="C86" s="33" t="s">
        <v>17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NAS</v>
      </c>
    </row>
    <row r="87" spans="1:36" ht="12.75">
      <c r="A87" s="6">
        <v>6.24</v>
      </c>
      <c r="B87" s="33"/>
      <c r="C87" s="33" t="s">
        <v>17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NAS</v>
      </c>
    </row>
    <row r="88" spans="1:36" ht="12.75">
      <c r="A88" s="6">
        <v>6.25</v>
      </c>
      <c r="B88" s="33"/>
      <c r="C88" s="33" t="s">
        <v>17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NAS</v>
      </c>
    </row>
    <row r="89" spans="1:36" ht="12.75">
      <c r="A89" s="6">
        <v>6.26</v>
      </c>
      <c r="B89" s="33"/>
      <c r="C89" s="33" t="s">
        <v>17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NAS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5">
      <c r="A91" s="6">
        <v>6.28</v>
      </c>
      <c r="B91" s="36" t="s">
        <v>32</v>
      </c>
      <c r="C91" s="36" t="s">
        <v>1918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NAS</v>
      </c>
    </row>
    <row r="92" spans="1:36" ht="15">
      <c r="A92" s="6">
        <v>6.29</v>
      </c>
      <c r="B92" s="36" t="s">
        <v>32</v>
      </c>
      <c r="C92" s="36" t="s">
        <v>1918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NAS</v>
      </c>
    </row>
    <row r="93" spans="1:36" ht="15">
      <c r="A93" s="6">
        <v>6.3</v>
      </c>
      <c r="B93" s="36" t="s">
        <v>32</v>
      </c>
      <c r="C93" s="36" t="s">
        <v>1918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NAS</v>
      </c>
    </row>
    <row r="94" spans="1:36" ht="12.75">
      <c r="A94" s="6">
        <v>7.01</v>
      </c>
      <c r="B94" s="33" t="s">
        <v>32</v>
      </c>
      <c r="C94" s="33" t="s">
        <v>1919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NAS</v>
      </c>
    </row>
    <row r="95" spans="1:36" ht="12.75">
      <c r="A95" s="6">
        <v>7.02</v>
      </c>
      <c r="B95" s="33" t="s">
        <v>32</v>
      </c>
      <c r="C95" s="33" t="s">
        <v>1919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NAS</v>
      </c>
    </row>
    <row r="96" spans="1:36" ht="12.75">
      <c r="A96" s="6">
        <v>7.03</v>
      </c>
      <c r="B96" s="33" t="s">
        <v>32</v>
      </c>
      <c r="C96" s="33" t="s">
        <v>1919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NAS</v>
      </c>
    </row>
    <row r="97" spans="1:36" ht="12.75">
      <c r="A97" s="6">
        <v>7.04</v>
      </c>
      <c r="B97" s="33" t="s">
        <v>32</v>
      </c>
      <c r="C97" s="33" t="s">
        <v>16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NAS</v>
      </c>
    </row>
    <row r="98" spans="1:36" ht="12.75">
      <c r="A98" s="6">
        <v>7.05</v>
      </c>
      <c r="B98" s="33" t="s">
        <v>32</v>
      </c>
      <c r="C98" s="33" t="s">
        <v>16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NAS</v>
      </c>
    </row>
    <row r="99" spans="1:36" ht="12.75">
      <c r="A99" s="6">
        <v>7.06</v>
      </c>
      <c r="B99" s="33" t="s">
        <v>32</v>
      </c>
      <c r="C99" s="33" t="s">
        <v>16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NAS</v>
      </c>
    </row>
    <row r="100" spans="1:36" ht="12.75">
      <c r="A100" s="6">
        <v>7.07</v>
      </c>
      <c r="B100" s="33"/>
      <c r="C100" s="33" t="s">
        <v>14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NAS</v>
      </c>
    </row>
    <row r="101" spans="1:36" ht="12.75">
      <c r="A101" s="6">
        <v>7.08</v>
      </c>
      <c r="B101" s="33"/>
      <c r="C101" s="33" t="s">
        <v>14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NAS</v>
      </c>
    </row>
    <row r="102" spans="1:36" ht="12.75">
      <c r="A102" s="6">
        <v>7.09</v>
      </c>
      <c r="B102" s="33"/>
      <c r="C102" s="33" t="s">
        <v>14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NAS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56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NAS</v>
      </c>
    </row>
    <row r="107" spans="1:36" ht="12.75">
      <c r="A107" s="6">
        <v>7.14</v>
      </c>
      <c r="B107" s="33"/>
      <c r="C107" s="33" t="s">
        <v>56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NAS</v>
      </c>
    </row>
    <row r="108" spans="1:36" ht="12.75">
      <c r="A108" s="6">
        <v>7.15</v>
      </c>
      <c r="B108" s="33"/>
      <c r="C108" s="33" t="s">
        <v>56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NAS</v>
      </c>
    </row>
    <row r="109" spans="1:36" ht="12.75">
      <c r="A109" s="6">
        <v>7.16</v>
      </c>
      <c r="B109" s="33" t="s">
        <v>32</v>
      </c>
      <c r="C109" s="33" t="s">
        <v>55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NAS</v>
      </c>
    </row>
    <row r="110" spans="1:36" ht="12.75">
      <c r="A110" s="6">
        <v>7.17</v>
      </c>
      <c r="B110" s="33" t="s">
        <v>32</v>
      </c>
      <c r="C110" s="33" t="s">
        <v>55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NAS</v>
      </c>
    </row>
    <row r="111" spans="1:36" ht="12.75">
      <c r="A111" s="6">
        <v>7.18</v>
      </c>
      <c r="B111" s="33" t="s">
        <v>32</v>
      </c>
      <c r="C111" s="33" t="s">
        <v>55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NAS</v>
      </c>
    </row>
    <row r="112" spans="1:36" ht="12.75">
      <c r="A112" s="6">
        <v>7.19</v>
      </c>
      <c r="B112" s="33" t="s">
        <v>32</v>
      </c>
      <c r="C112" s="33" t="s">
        <v>45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NAS</v>
      </c>
    </row>
    <row r="113" spans="1:36" ht="12.75">
      <c r="A113" s="6">
        <v>7.2</v>
      </c>
      <c r="B113" s="33" t="s">
        <v>32</v>
      </c>
      <c r="C113" s="33" t="s">
        <v>45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NAS</v>
      </c>
    </row>
    <row r="114" spans="1:36" ht="12.75">
      <c r="A114" s="6">
        <v>7.21</v>
      </c>
      <c r="B114" s="33" t="s">
        <v>32</v>
      </c>
      <c r="C114" s="33" t="s">
        <v>45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NAS</v>
      </c>
    </row>
    <row r="115" spans="1:36" ht="12.75">
      <c r="A115" s="6">
        <v>7.22</v>
      </c>
      <c r="B115" s="33" t="s">
        <v>32</v>
      </c>
      <c r="C115" s="33" t="s">
        <v>45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NAS</v>
      </c>
    </row>
    <row r="116" spans="1:36" ht="12.75">
      <c r="A116" s="6">
        <v>7.23</v>
      </c>
      <c r="B116" s="32" t="s">
        <v>32</v>
      </c>
      <c r="C116" s="33" t="s">
        <v>34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NAS</v>
      </c>
    </row>
    <row r="117" spans="1:36" ht="12.75">
      <c r="A117" s="6">
        <v>7.24</v>
      </c>
      <c r="B117" s="32" t="s">
        <v>32</v>
      </c>
      <c r="C117" s="33" t="s">
        <v>34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NAS</v>
      </c>
    </row>
    <row r="118" spans="1:36" ht="12.75">
      <c r="A118" s="6">
        <v>7.25</v>
      </c>
      <c r="B118" s="32" t="s">
        <v>32</v>
      </c>
      <c r="C118" s="33" t="s">
        <v>34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NAS</v>
      </c>
    </row>
    <row r="119" spans="1:36" ht="12.75">
      <c r="A119" s="6">
        <v>7.26</v>
      </c>
      <c r="B119" s="32" t="s">
        <v>32</v>
      </c>
      <c r="C119" s="33" t="s">
        <v>34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NAS</v>
      </c>
    </row>
    <row r="120" spans="1:36" ht="12.75">
      <c r="A120" s="6">
        <v>7.27</v>
      </c>
      <c r="B120" s="32"/>
      <c r="C120" s="33" t="s">
        <v>47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NAS</v>
      </c>
    </row>
    <row r="121" spans="1:36" ht="12.75">
      <c r="A121" s="6">
        <v>7.28</v>
      </c>
      <c r="B121" s="32"/>
      <c r="C121" s="33" t="s">
        <v>47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NAS</v>
      </c>
    </row>
    <row r="122" spans="1:36" ht="12.75">
      <c r="A122" s="6">
        <v>7.29</v>
      </c>
      <c r="B122" s="32"/>
      <c r="C122" s="33" t="s">
        <v>47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NAS</v>
      </c>
    </row>
    <row r="123" spans="1:36" ht="12.75">
      <c r="A123" s="6">
        <v>7.3</v>
      </c>
      <c r="B123" s="32"/>
      <c r="C123" s="33" t="s">
        <v>47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NAS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46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NAS</v>
      </c>
    </row>
    <row r="126" spans="1:36" ht="12.75">
      <c r="A126" s="6">
        <v>8.02</v>
      </c>
      <c r="B126" s="33" t="s">
        <v>32</v>
      </c>
      <c r="C126" s="33" t="s">
        <v>46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NAS</v>
      </c>
    </row>
    <row r="127" spans="1:36" ht="12.75">
      <c r="A127" s="6">
        <v>8.0299999999999994</v>
      </c>
      <c r="B127" s="33" t="s">
        <v>32</v>
      </c>
      <c r="C127" s="33" t="s">
        <v>46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NAS</v>
      </c>
    </row>
    <row r="128" spans="1:36" ht="12.75">
      <c r="A128" s="6">
        <v>8.0399999999999991</v>
      </c>
      <c r="B128" s="33" t="s">
        <v>32</v>
      </c>
      <c r="C128" s="33" t="s">
        <v>46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NAS</v>
      </c>
    </row>
    <row r="129" spans="1:36" ht="12.75">
      <c r="A129" s="6">
        <v>8.0500000000000007</v>
      </c>
      <c r="B129" s="33"/>
      <c r="C129" s="33" t="s">
        <v>1919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NAS</v>
      </c>
    </row>
    <row r="130" spans="1:36" ht="12.75">
      <c r="A130" s="6">
        <v>8.06</v>
      </c>
      <c r="B130" s="33"/>
      <c r="C130" s="33" t="s">
        <v>1919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NAS</v>
      </c>
    </row>
    <row r="131" spans="1:36" ht="12.75">
      <c r="A131" s="6">
        <v>8.07</v>
      </c>
      <c r="B131" s="33"/>
      <c r="C131" s="33" t="s">
        <v>1919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NAS</v>
      </c>
    </row>
    <row r="132" spans="1:36" ht="12.75">
      <c r="A132" s="6">
        <v>8.08</v>
      </c>
      <c r="B132" s="33"/>
      <c r="C132" s="33" t="s">
        <v>1919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NAS</v>
      </c>
    </row>
    <row r="133" spans="1:36" ht="12.75">
      <c r="A133" s="6">
        <v>8.09</v>
      </c>
      <c r="B133" s="33"/>
      <c r="C133" s="33" t="s">
        <v>55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NAS</v>
      </c>
    </row>
    <row r="134" spans="1:36" ht="12.75">
      <c r="A134" s="6">
        <v>8.1</v>
      </c>
      <c r="B134" s="33"/>
      <c r="C134" s="33" t="s">
        <v>55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NAS</v>
      </c>
    </row>
    <row r="135" spans="1:36" ht="12.75">
      <c r="A135" s="6">
        <v>8.11</v>
      </c>
      <c r="B135" s="33"/>
      <c r="C135" s="33" t="s">
        <v>55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NAS</v>
      </c>
    </row>
    <row r="136" spans="1:36" ht="12.75">
      <c r="A136" s="6">
        <v>8.1199999999999992</v>
      </c>
      <c r="B136" s="33"/>
      <c r="C136" s="33" t="s">
        <v>55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NAS</v>
      </c>
    </row>
    <row r="137" spans="1:36" ht="12.75">
      <c r="A137" s="6">
        <v>8.1300000000000008</v>
      </c>
      <c r="B137" s="33"/>
      <c r="C137" s="33" t="s">
        <v>1918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NAS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1918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NAS</v>
      </c>
    </row>
    <row r="140" spans="1:36" ht="12.75">
      <c r="A140" s="6">
        <v>8.16</v>
      </c>
      <c r="B140" s="33"/>
      <c r="C140" s="33" t="s">
        <v>1918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NAS</v>
      </c>
    </row>
    <row r="141" spans="1:36" ht="12.75">
      <c r="A141" s="6">
        <v>8.17</v>
      </c>
      <c r="B141" s="33"/>
      <c r="C141" s="33" t="s">
        <v>1918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NAS</v>
      </c>
    </row>
    <row r="142" spans="1:36" ht="12.75">
      <c r="A142" s="6">
        <v>8.18</v>
      </c>
      <c r="B142" s="32" t="s">
        <v>32</v>
      </c>
      <c r="C142" s="33" t="s">
        <v>35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NAS</v>
      </c>
    </row>
    <row r="143" spans="1:36" ht="12.75">
      <c r="A143" s="6">
        <v>8.19</v>
      </c>
      <c r="B143" s="32" t="s">
        <v>32</v>
      </c>
      <c r="C143" s="33" t="s">
        <v>35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NAS</v>
      </c>
    </row>
    <row r="144" spans="1:36" ht="12.75">
      <c r="A144" s="6">
        <v>8.1999999999999993</v>
      </c>
      <c r="B144" s="32" t="s">
        <v>32</v>
      </c>
      <c r="C144" s="33" t="s">
        <v>35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NAS</v>
      </c>
    </row>
    <row r="145" spans="1:36" ht="12.75">
      <c r="A145" s="6">
        <v>8.2100000000000009</v>
      </c>
      <c r="B145" s="32" t="s">
        <v>32</v>
      </c>
      <c r="C145" s="33" t="s">
        <v>56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NAS</v>
      </c>
    </row>
    <row r="146" spans="1:36" ht="12.75">
      <c r="A146" s="6">
        <v>8.2200000000000006</v>
      </c>
      <c r="B146" s="32" t="s">
        <v>32</v>
      </c>
      <c r="C146" s="33" t="s">
        <v>56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NAS</v>
      </c>
    </row>
    <row r="147" spans="1:36" ht="12.75">
      <c r="A147" s="6">
        <v>8.23</v>
      </c>
      <c r="B147" s="32" t="s">
        <v>32</v>
      </c>
      <c r="C147" s="33" t="s">
        <v>56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NAS</v>
      </c>
    </row>
    <row r="148" spans="1:36" ht="12.75">
      <c r="A148" s="6">
        <v>8.24</v>
      </c>
      <c r="B148" s="32" t="s">
        <v>32</v>
      </c>
      <c r="C148" s="33" t="s">
        <v>56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NAS</v>
      </c>
    </row>
    <row r="149" spans="1:36" ht="12.75">
      <c r="A149" s="6">
        <v>8.25</v>
      </c>
      <c r="B149" s="33"/>
      <c r="C149" s="33" t="s">
        <v>16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NAS</v>
      </c>
    </row>
    <row r="150" spans="1:36" ht="12.75">
      <c r="A150" s="6">
        <v>8.26</v>
      </c>
      <c r="B150" s="33"/>
      <c r="C150" s="33" t="s">
        <v>16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NAS</v>
      </c>
    </row>
    <row r="151" spans="1:36" ht="12.75">
      <c r="A151" s="6">
        <v>8.27</v>
      </c>
      <c r="B151" s="33"/>
      <c r="C151" s="33" t="s">
        <v>16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NAS</v>
      </c>
    </row>
    <row r="152" spans="1:36" ht="12.75">
      <c r="A152" s="6">
        <v>8.2799999999999994</v>
      </c>
      <c r="B152" s="33"/>
      <c r="C152" s="33" t="s">
        <v>16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NAS</v>
      </c>
    </row>
    <row r="153" spans="1:36" ht="12.75">
      <c r="A153" s="6">
        <v>8.2899999999999991</v>
      </c>
      <c r="B153" s="33"/>
      <c r="C153" s="33" t="s">
        <v>40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NAS</v>
      </c>
    </row>
    <row r="154" spans="1:36" ht="12.75">
      <c r="A154" s="6">
        <v>8.3000000000000007</v>
      </c>
      <c r="B154" s="33"/>
      <c r="C154" s="33" t="s">
        <v>40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NAS</v>
      </c>
    </row>
    <row r="155" spans="1:36" ht="12.75">
      <c r="A155" s="6">
        <v>8.31</v>
      </c>
      <c r="B155" s="33"/>
      <c r="C155" s="33" t="s">
        <v>40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NAS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/>
      <c r="C157" s="33" t="s">
        <v>51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NAS</v>
      </c>
    </row>
    <row r="158" spans="1:36" ht="12.75">
      <c r="A158" s="6">
        <v>9.0299999999999994</v>
      </c>
      <c r="B158" s="33"/>
      <c r="C158" s="33" t="s">
        <v>51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NAS</v>
      </c>
    </row>
    <row r="159" spans="1:36" ht="12.75">
      <c r="A159" s="6">
        <v>9.0399999999999991</v>
      </c>
      <c r="B159" s="33"/>
      <c r="C159" s="33" t="s">
        <v>51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NAS</v>
      </c>
    </row>
    <row r="160" spans="1:36" ht="12.75">
      <c r="A160" s="6">
        <v>9.0500000000000007</v>
      </c>
      <c r="B160" s="33"/>
      <c r="C160" s="33" t="s">
        <v>15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NAS</v>
      </c>
    </row>
    <row r="161" spans="1:36" ht="12.75">
      <c r="A161" s="6">
        <v>9.06</v>
      </c>
      <c r="B161" s="33"/>
      <c r="C161" s="33" t="s">
        <v>15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NAS</v>
      </c>
    </row>
    <row r="162" spans="1:36" ht="12.75">
      <c r="A162" s="6">
        <v>9.07</v>
      </c>
      <c r="B162" s="33"/>
      <c r="C162" s="33" t="s">
        <v>15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NAS</v>
      </c>
    </row>
    <row r="163" spans="1:36" ht="12.75">
      <c r="A163" s="6">
        <v>9.08</v>
      </c>
      <c r="B163" s="33" t="s">
        <v>32</v>
      </c>
      <c r="C163" s="33" t="s">
        <v>13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NAS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3" t="s">
        <v>32</v>
      </c>
      <c r="C165" s="33" t="s">
        <v>13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NAS</v>
      </c>
    </row>
    <row r="166" spans="1:36" ht="12.75">
      <c r="A166" s="6">
        <v>9.11</v>
      </c>
      <c r="B166" s="33" t="s">
        <v>32</v>
      </c>
      <c r="C166" s="33" t="s">
        <v>13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NAS</v>
      </c>
    </row>
    <row r="167" spans="1:36" ht="12.75">
      <c r="A167" s="6">
        <v>9.1199999999999992</v>
      </c>
      <c r="B167" s="33" t="s">
        <v>32</v>
      </c>
      <c r="C167" s="33" t="s">
        <v>54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NAS</v>
      </c>
    </row>
    <row r="168" spans="1:36" ht="12.75">
      <c r="A168" s="6">
        <v>9.1300000000000008</v>
      </c>
      <c r="B168" s="33" t="s">
        <v>32</v>
      </c>
      <c r="C168" s="33" t="s">
        <v>54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NAS</v>
      </c>
    </row>
    <row r="169" spans="1:36" ht="12.75">
      <c r="A169" s="6">
        <v>9.14</v>
      </c>
      <c r="B169" s="33" t="s">
        <v>32</v>
      </c>
      <c r="C169" s="33" t="s">
        <v>54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NAS</v>
      </c>
    </row>
    <row r="170" spans="1:36" ht="12.75">
      <c r="A170" s="6">
        <v>9.15</v>
      </c>
      <c r="B170" s="33" t="s">
        <v>32</v>
      </c>
      <c r="C170" s="33" t="s">
        <v>54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NAS</v>
      </c>
    </row>
    <row r="171" spans="1:36" ht="12.75">
      <c r="A171" s="6">
        <v>9.16</v>
      </c>
      <c r="B171" s="33"/>
      <c r="C171" s="33" t="s">
        <v>46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NAS</v>
      </c>
    </row>
    <row r="172" spans="1:36" ht="12.75">
      <c r="A172" s="6">
        <v>9.17</v>
      </c>
      <c r="B172" s="33"/>
      <c r="C172" s="33" t="s">
        <v>46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NAS</v>
      </c>
    </row>
    <row r="173" spans="1:36" ht="12.75">
      <c r="A173" s="6">
        <v>9.18</v>
      </c>
      <c r="B173" s="33"/>
      <c r="C173" s="33" t="s">
        <v>46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NAS</v>
      </c>
    </row>
    <row r="174" spans="1:36" ht="12.75">
      <c r="A174" s="6">
        <v>9.19</v>
      </c>
      <c r="B174" s="33" t="s">
        <v>32</v>
      </c>
      <c r="C174" s="33" t="s">
        <v>14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NAS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3" t="s">
        <v>32</v>
      </c>
      <c r="C176" s="33" t="s">
        <v>14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NAS</v>
      </c>
    </row>
    <row r="177" spans="1:36" ht="12.75">
      <c r="A177" s="6">
        <v>9.2200000000000006</v>
      </c>
      <c r="B177" s="33" t="s">
        <v>32</v>
      </c>
      <c r="C177" s="33" t="s">
        <v>14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NAS</v>
      </c>
    </row>
    <row r="178" spans="1:36" ht="12.75">
      <c r="A178" s="6">
        <v>9.23</v>
      </c>
      <c r="B178" s="33" t="s">
        <v>32</v>
      </c>
      <c r="C178" s="33" t="s">
        <v>14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NAS</v>
      </c>
    </row>
    <row r="179" spans="1:36" ht="12.75">
      <c r="A179" s="6">
        <v>9.24</v>
      </c>
      <c r="B179" s="33" t="s">
        <v>32</v>
      </c>
      <c r="C179" s="33" t="s">
        <v>52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NAS</v>
      </c>
    </row>
    <row r="180" spans="1:36" ht="12.75">
      <c r="A180" s="6">
        <v>9.25</v>
      </c>
      <c r="B180" s="33" t="s">
        <v>32</v>
      </c>
      <c r="C180" s="33" t="s">
        <v>52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NAS</v>
      </c>
    </row>
    <row r="181" spans="1:36" ht="12.75">
      <c r="A181" s="6">
        <v>9.26</v>
      </c>
      <c r="B181" s="33" t="s">
        <v>32</v>
      </c>
      <c r="C181" s="33" t="s">
        <v>52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NAS</v>
      </c>
    </row>
    <row r="182" spans="1:36" ht="12.75">
      <c r="A182" s="6">
        <v>9.27</v>
      </c>
      <c r="B182" s="33" t="s">
        <v>32</v>
      </c>
      <c r="C182" s="33" t="s">
        <v>17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NAS</v>
      </c>
    </row>
    <row r="183" spans="1:36" ht="12.75">
      <c r="A183" s="6">
        <v>9.2799999999999994</v>
      </c>
      <c r="B183" s="33" t="s">
        <v>32</v>
      </c>
      <c r="C183" s="33" t="s">
        <v>17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NAS</v>
      </c>
    </row>
    <row r="184" spans="1:36" ht="12.75">
      <c r="A184" s="6">
        <v>9.2899999999999991</v>
      </c>
      <c r="B184" s="33" t="s">
        <v>32</v>
      </c>
      <c r="C184" s="33" t="s">
        <v>17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NAS</v>
      </c>
    </row>
    <row r="185" spans="1:36" ht="12.75">
      <c r="A185" s="6">
        <v>9.3000000000000007</v>
      </c>
      <c r="B185" s="33" t="s">
        <v>32</v>
      </c>
      <c r="C185" s="33" t="s">
        <v>17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NAS</v>
      </c>
    </row>
    <row r="186" spans="1:36">
      <c r="A186" s="6"/>
      <c r="B186" s="6"/>
      <c r="D186" s="1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4:36"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4:36">
      <c r="K194" s="2"/>
      <c r="AJ194" s="2"/>
    </row>
    <row r="195" spans="4:36">
      <c r="K195" s="2"/>
      <c r="AJ195" s="2"/>
    </row>
    <row r="196" spans="4:36">
      <c r="K196" s="2"/>
      <c r="AJ196" s="2"/>
    </row>
    <row r="197" spans="4:36">
      <c r="K197" s="2"/>
      <c r="AJ197" s="2"/>
    </row>
    <row r="198" spans="4:36">
      <c r="K198" s="2"/>
      <c r="AJ198" s="2"/>
    </row>
    <row r="199" spans="4:36">
      <c r="K199" s="2"/>
      <c r="AJ199" s="2"/>
    </row>
    <row r="200" spans="4:36">
      <c r="K200" s="2"/>
      <c r="AJ200" s="2"/>
    </row>
    <row r="201" spans="4:36">
      <c r="K201" s="2"/>
      <c r="AJ201" s="2"/>
    </row>
    <row r="202" spans="4:36">
      <c r="K202" s="2"/>
      <c r="AJ202" s="2"/>
    </row>
    <row r="203" spans="4:36">
      <c r="K203" s="2"/>
      <c r="AJ203" s="2"/>
    </row>
    <row r="204" spans="4:36">
      <c r="AJ204" s="2"/>
    </row>
    <row r="205" spans="4:36">
      <c r="AJ205" s="2"/>
    </row>
    <row r="206" spans="4:36">
      <c r="AJ206" s="2"/>
    </row>
    <row r="207" spans="4:36">
      <c r="AJ207" s="2"/>
    </row>
    <row r="208" spans="4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3519" priority="440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18" priority="441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3517" priority="442" stopIfTrue="1" operator="equal">
      <formula>"input a different starter in column C"</formula>
    </cfRule>
  </conditionalFormatting>
  <conditionalFormatting sqref="AK23">
    <cfRule type="cellIs" dxfId="3516" priority="444" stopIfTrue="1" operator="equal">
      <formula>"must have 162 starts"</formula>
    </cfRule>
  </conditionalFormatting>
  <conditionalFormatting sqref="AH3:AH22">
    <cfRule type="cellIs" dxfId="3515" priority="410" stopIfTrue="1" operator="equal">
      <formula>"must average at least 5 innings per start"</formula>
    </cfRule>
  </conditionalFormatting>
  <conditionalFormatting sqref="AH23">
    <cfRule type="cellIs" dxfId="3514" priority="409" stopIfTrue="1" operator="equal">
      <formula>"must have 162 starts"</formula>
    </cfRule>
  </conditionalFormatting>
  <conditionalFormatting sqref="AG3:AG22">
    <cfRule type="cellIs" dxfId="3513" priority="408" stopIfTrue="1" operator="equal">
      <formula>"must average at least 5 innings per start"</formula>
    </cfRule>
  </conditionalFormatting>
  <conditionalFormatting sqref="AG23">
    <cfRule type="cellIs" dxfId="3512" priority="407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11" priority="40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10" priority="40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9" priority="40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8" priority="40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7" priority="40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6" priority="40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5" priority="40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4" priority="39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3" priority="39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2" priority="39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1" priority="39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500" priority="39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9" priority="39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8" priority="39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7" priority="39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6" priority="39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5" priority="39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4" priority="38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3" priority="38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2" priority="38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1" priority="38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90" priority="38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89" priority="38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88" priority="38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87" priority="38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86" priority="38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485" priority="380" stopIfTrue="1" operator="equal">
      <formula>"input starter in column C"</formula>
    </cfRule>
  </conditionalFormatting>
  <conditionalFormatting sqref="P3">
    <cfRule type="cellIs" dxfId="3484" priority="379" stopIfTrue="1" operator="equal">
      <formula>"input starter in column D"</formula>
    </cfRule>
  </conditionalFormatting>
  <conditionalFormatting sqref="P4">
    <cfRule type="cellIs" dxfId="3483" priority="378" stopIfTrue="1" operator="equal">
      <formula>"input starter in column D"</formula>
    </cfRule>
  </conditionalFormatting>
  <conditionalFormatting sqref="P5">
    <cfRule type="cellIs" dxfId="3482" priority="377" stopIfTrue="1" operator="equal">
      <formula>"INPUT STARTER IN COLUMN D"</formula>
    </cfRule>
  </conditionalFormatting>
  <conditionalFormatting sqref="P6">
    <cfRule type="cellIs" dxfId="3481" priority="376" stopIfTrue="1" operator="equal">
      <formula>"INPUT STARTER IN COLUMN D"</formula>
    </cfRule>
  </conditionalFormatting>
  <conditionalFormatting sqref="P8">
    <cfRule type="cellIs" dxfId="3480" priority="375" stopIfTrue="1" operator="equal">
      <formula>"INPUT STARTER IN COLUMN D"</formula>
    </cfRule>
  </conditionalFormatting>
  <conditionalFormatting sqref="P9">
    <cfRule type="cellIs" dxfId="3479" priority="374" stopIfTrue="1" operator="equal">
      <formula>"INPUT STARTER IN COLUMN D"</formula>
    </cfRule>
  </conditionalFormatting>
  <conditionalFormatting sqref="P10">
    <cfRule type="cellIs" dxfId="3478" priority="373" stopIfTrue="1" operator="equal">
      <formula>"INPUT STARTER IN COLUMN D"</formula>
    </cfRule>
  </conditionalFormatting>
  <conditionalFormatting sqref="P11">
    <cfRule type="cellIs" dxfId="3477" priority="372" stopIfTrue="1" operator="equal">
      <formula>"INPUT STARTER IN COLUMN D"</formula>
    </cfRule>
  </conditionalFormatting>
  <conditionalFormatting sqref="P13">
    <cfRule type="cellIs" dxfId="3476" priority="371" stopIfTrue="1" operator="equal">
      <formula>"INPUT STARTER IN COLUMN D"</formula>
    </cfRule>
  </conditionalFormatting>
  <conditionalFormatting sqref="P14">
    <cfRule type="cellIs" dxfId="3475" priority="370" stopIfTrue="1" operator="equal">
      <formula>"INPUT STARTER IN COLUMN D"</formula>
    </cfRule>
  </conditionalFormatting>
  <conditionalFormatting sqref="P15">
    <cfRule type="cellIs" dxfId="3474" priority="369" stopIfTrue="1" operator="equal">
      <formula>"INPUT STARTER IN COLUMN D"</formula>
    </cfRule>
  </conditionalFormatting>
  <conditionalFormatting sqref="P16">
    <cfRule type="cellIs" dxfId="3473" priority="368" stopIfTrue="1" operator="equal">
      <formula>"INPUT STARTER IN COLUMN D"</formula>
    </cfRule>
  </conditionalFormatting>
  <conditionalFormatting sqref="P18">
    <cfRule type="cellIs" dxfId="3472" priority="367" stopIfTrue="1" operator="equal">
      <formula>"INPUT STARTER IN COLUMN D"</formula>
    </cfRule>
  </conditionalFormatting>
  <conditionalFormatting sqref="P19">
    <cfRule type="cellIs" dxfId="3471" priority="366" stopIfTrue="1" operator="equal">
      <formula>"INPUT STARTER IN COLUMN D"</formula>
    </cfRule>
  </conditionalFormatting>
  <conditionalFormatting sqref="P20">
    <cfRule type="cellIs" dxfId="3470" priority="365" stopIfTrue="1" operator="equal">
      <formula>"INPUT STARTER IN COLUMN D"</formula>
    </cfRule>
  </conditionalFormatting>
  <conditionalFormatting sqref="P21">
    <cfRule type="cellIs" dxfId="3469" priority="364" stopIfTrue="1" operator="equal">
      <formula>"INPUT STARTER IN COLUMN D"</formula>
    </cfRule>
  </conditionalFormatting>
  <conditionalFormatting sqref="P23">
    <cfRule type="cellIs" dxfId="3468" priority="363" stopIfTrue="1" operator="equal">
      <formula>"INPUT STARTER IN COLUMN D"</formula>
    </cfRule>
  </conditionalFormatting>
  <conditionalFormatting sqref="P24">
    <cfRule type="cellIs" dxfId="3467" priority="362" stopIfTrue="1" operator="equal">
      <formula>"INPUT STARTER IN COLUMN D"</formula>
    </cfRule>
  </conditionalFormatting>
  <conditionalFormatting sqref="P25">
    <cfRule type="cellIs" dxfId="3466" priority="361" stopIfTrue="1" operator="equal">
      <formula>"INPUT STARTER IN COLUMN D"</formula>
    </cfRule>
  </conditionalFormatting>
  <conditionalFormatting sqref="P26">
    <cfRule type="cellIs" dxfId="3465" priority="360" stopIfTrue="1" operator="equal">
      <formula>"INPUT STARTER IN COLUMN D"</formula>
    </cfRule>
  </conditionalFormatting>
  <conditionalFormatting sqref="P28">
    <cfRule type="cellIs" dxfId="3464" priority="359" stopIfTrue="1" operator="equal">
      <formula>"INPUT STARTER IN COLUMN D"</formula>
    </cfRule>
  </conditionalFormatting>
  <conditionalFormatting sqref="P29">
    <cfRule type="cellIs" dxfId="3463" priority="358" stopIfTrue="1" operator="equal">
      <formula>"INPUT STARTER IN COLUMN D"</formula>
    </cfRule>
  </conditionalFormatting>
  <conditionalFormatting sqref="P30">
    <cfRule type="cellIs" dxfId="3462" priority="357" stopIfTrue="1" operator="equal">
      <formula>"INPUT STARTER IN COLUMN D"</formula>
    </cfRule>
  </conditionalFormatting>
  <conditionalFormatting sqref="P31">
    <cfRule type="cellIs" dxfId="3461" priority="356" stopIfTrue="1" operator="equal">
      <formula>"INPUT STARTER IN COLUMN D"</formula>
    </cfRule>
  </conditionalFormatting>
  <conditionalFormatting sqref="P33">
    <cfRule type="cellIs" dxfId="3460" priority="355" stopIfTrue="1" operator="equal">
      <formula>"INPUT STARTER IN COLUMN D"</formula>
    </cfRule>
  </conditionalFormatting>
  <conditionalFormatting sqref="P34">
    <cfRule type="cellIs" dxfId="3459" priority="354" stopIfTrue="1" operator="equal">
      <formula>"INPUT STARTER IN COLUMN D"</formula>
    </cfRule>
  </conditionalFormatting>
  <conditionalFormatting sqref="P35">
    <cfRule type="cellIs" dxfId="3458" priority="353" stopIfTrue="1" operator="equal">
      <formula>"INPUT STARTER IN COLUMN D"</formula>
    </cfRule>
  </conditionalFormatting>
  <conditionalFormatting sqref="P36">
    <cfRule type="cellIs" dxfId="3457" priority="352" stopIfTrue="1" operator="equal">
      <formula>"INPUT STARTER IN COLUMN D"</formula>
    </cfRule>
  </conditionalFormatting>
  <conditionalFormatting sqref="P37">
    <cfRule type="cellIs" dxfId="3456" priority="351" stopIfTrue="1" operator="equal">
      <formula>"INPUT STARTER IN COLUMN D"</formula>
    </cfRule>
  </conditionalFormatting>
  <conditionalFormatting sqref="P38">
    <cfRule type="cellIs" dxfId="3455" priority="350" stopIfTrue="1" operator="equal">
      <formula>"INPUT STARTER IN COLUMN D"</formula>
    </cfRule>
  </conditionalFormatting>
  <conditionalFormatting sqref="P39">
    <cfRule type="cellIs" dxfId="3454" priority="349" stopIfTrue="1" operator="equal">
      <formula>"INPUT STARTER IN COLUMN D"</formula>
    </cfRule>
  </conditionalFormatting>
  <conditionalFormatting sqref="P40">
    <cfRule type="cellIs" dxfId="3453" priority="348" stopIfTrue="1" operator="equal">
      <formula>"INPUT STARTER IN COLUMN D"</formula>
    </cfRule>
  </conditionalFormatting>
  <conditionalFormatting sqref="P42">
    <cfRule type="cellIs" dxfId="3452" priority="347" stopIfTrue="1" operator="equal">
      <formula>"INPUT STARTER IN COLUMN D"</formula>
    </cfRule>
  </conditionalFormatting>
  <conditionalFormatting sqref="P43">
    <cfRule type="cellIs" dxfId="3451" priority="346" stopIfTrue="1" operator="equal">
      <formula>"INPUT STARTER IN COLUMN D"</formula>
    </cfRule>
  </conditionalFormatting>
  <conditionalFormatting sqref="P44">
    <cfRule type="cellIs" dxfId="3450" priority="345" stopIfTrue="1" operator="equal">
      <formula>"INPUT STARTER IN COLUMN D"</formula>
    </cfRule>
  </conditionalFormatting>
  <conditionalFormatting sqref="P45">
    <cfRule type="cellIs" dxfId="3449" priority="344" stopIfTrue="1" operator="equal">
      <formula>"INPUT STARTER IN COLUMN D"</formula>
    </cfRule>
  </conditionalFormatting>
  <conditionalFormatting sqref="P46">
    <cfRule type="cellIs" dxfId="3448" priority="343" stopIfTrue="1" operator="equal">
      <formula>"INPUT STARTER IN COLUMN D"</formula>
    </cfRule>
  </conditionalFormatting>
  <conditionalFormatting sqref="P47">
    <cfRule type="cellIs" dxfId="3447" priority="342" stopIfTrue="1" operator="equal">
      <formula>"INPUT STARTER IN COLUMN D"</formula>
    </cfRule>
  </conditionalFormatting>
  <conditionalFormatting sqref="P49">
    <cfRule type="cellIs" dxfId="3446" priority="341" stopIfTrue="1" operator="equal">
      <formula>"INPUT STARTER IN COLUMN D"</formula>
    </cfRule>
  </conditionalFormatting>
  <conditionalFormatting sqref="P50">
    <cfRule type="cellIs" dxfId="3445" priority="340" stopIfTrue="1" operator="equal">
      <formula>"INPUT STARTER IN COLUMN D"</formula>
    </cfRule>
  </conditionalFormatting>
  <conditionalFormatting sqref="P51">
    <cfRule type="cellIs" dxfId="3444" priority="339" stopIfTrue="1" operator="equal">
      <formula>"INPUT STARTER IN COLUMN D"</formula>
    </cfRule>
  </conditionalFormatting>
  <conditionalFormatting sqref="P52">
    <cfRule type="cellIs" dxfId="3443" priority="338" stopIfTrue="1" operator="equal">
      <formula>"INPUT STARTER IN COLUMN D"</formula>
    </cfRule>
  </conditionalFormatting>
  <conditionalFormatting sqref="P53">
    <cfRule type="cellIs" dxfId="3442" priority="337" stopIfTrue="1" operator="equal">
      <formula>"INPUT STARTER IN COLUMN D"</formula>
    </cfRule>
  </conditionalFormatting>
  <conditionalFormatting sqref="P54">
    <cfRule type="cellIs" dxfId="3441" priority="336" stopIfTrue="1" operator="equal">
      <formula>"INPUT STARTER IN COLUMN D"</formula>
    </cfRule>
  </conditionalFormatting>
  <conditionalFormatting sqref="P56">
    <cfRule type="cellIs" dxfId="3440" priority="335" stopIfTrue="1" operator="equal">
      <formula>"INPUT STARTER IN COLUMN D"</formula>
    </cfRule>
  </conditionalFormatting>
  <conditionalFormatting sqref="P57">
    <cfRule type="cellIs" dxfId="3439" priority="334" stopIfTrue="1" operator="equal">
      <formula>"INPUT STARTER IN COLUMN D"</formula>
    </cfRule>
  </conditionalFormatting>
  <conditionalFormatting sqref="P58">
    <cfRule type="cellIs" dxfId="3438" priority="333" stopIfTrue="1" operator="equal">
      <formula>"INPUT STARTER IN COLUMN D"</formula>
    </cfRule>
  </conditionalFormatting>
  <conditionalFormatting sqref="P59">
    <cfRule type="cellIs" dxfId="3437" priority="332" stopIfTrue="1" operator="equal">
      <formula>"INPUT STARTER IN COLUMN D"</formula>
    </cfRule>
  </conditionalFormatting>
  <conditionalFormatting sqref="P60">
    <cfRule type="cellIs" dxfId="3436" priority="331" stopIfTrue="1" operator="equal">
      <formula>"INPUT STARTER IN COLUMN D"</formula>
    </cfRule>
  </conditionalFormatting>
  <conditionalFormatting sqref="P61">
    <cfRule type="cellIs" dxfId="3435" priority="330" stopIfTrue="1" operator="equal">
      <formula>"INPUT STARTER IN COLUMN D"</formula>
    </cfRule>
  </conditionalFormatting>
  <conditionalFormatting sqref="P63">
    <cfRule type="cellIs" dxfId="3434" priority="329" stopIfTrue="1" operator="equal">
      <formula>"INPUT STARTER IN COLUMN D"</formula>
    </cfRule>
  </conditionalFormatting>
  <conditionalFormatting sqref="P64">
    <cfRule type="cellIs" dxfId="3433" priority="328" stopIfTrue="1" operator="equal">
      <formula>"INPUT STARTER IN COLUMN D"</formula>
    </cfRule>
  </conditionalFormatting>
  <conditionalFormatting sqref="P65">
    <cfRule type="cellIs" dxfId="3432" priority="327" stopIfTrue="1" operator="equal">
      <formula>"INPUT STARTER IN COLUMN D"</formula>
    </cfRule>
  </conditionalFormatting>
  <conditionalFormatting sqref="P66">
    <cfRule type="cellIs" dxfId="3431" priority="326" stopIfTrue="1" operator="equal">
      <formula>"INPUT STARTER IN COLUMN D"</formula>
    </cfRule>
  </conditionalFormatting>
  <conditionalFormatting sqref="P67">
    <cfRule type="cellIs" dxfId="3430" priority="325" stopIfTrue="1" operator="equal">
      <formula>"INPUT STARTER IN COLUMN D"</formula>
    </cfRule>
  </conditionalFormatting>
  <conditionalFormatting sqref="P68">
    <cfRule type="cellIs" dxfId="3429" priority="324" stopIfTrue="1" operator="equal">
      <formula>"INPUT STARTER IN COLUMN D"</formula>
    </cfRule>
  </conditionalFormatting>
  <conditionalFormatting sqref="P69">
    <cfRule type="cellIs" dxfId="3428" priority="323" stopIfTrue="1" operator="equal">
      <formula>"INPUT STARTER IN COLUMN D"</formula>
    </cfRule>
  </conditionalFormatting>
  <conditionalFormatting sqref="P71">
    <cfRule type="cellIs" dxfId="3427" priority="322" stopIfTrue="1" operator="equal">
      <formula>"INPUT STARTER IN COLUMN D"</formula>
    </cfRule>
  </conditionalFormatting>
  <conditionalFormatting sqref="P72">
    <cfRule type="cellIs" dxfId="3426" priority="321" stopIfTrue="1" operator="equal">
      <formula>"INPUT STARTER IN COLUMN D"</formula>
    </cfRule>
  </conditionalFormatting>
  <conditionalFormatting sqref="P73">
    <cfRule type="cellIs" dxfId="3425" priority="320" stopIfTrue="1" operator="equal">
      <formula>"INPUT STARTER IN COLUMN D"</formula>
    </cfRule>
  </conditionalFormatting>
  <conditionalFormatting sqref="P74">
    <cfRule type="cellIs" dxfId="3424" priority="319" stopIfTrue="1" operator="equal">
      <formula>"INPUT STARTER IN COLUMN D"</formula>
    </cfRule>
  </conditionalFormatting>
  <conditionalFormatting sqref="P75">
    <cfRule type="cellIs" dxfId="3423" priority="318" stopIfTrue="1" operator="equal">
      <formula>"INPUT STARTER IN COLUMN D"</formula>
    </cfRule>
  </conditionalFormatting>
  <conditionalFormatting sqref="P76">
    <cfRule type="cellIs" dxfId="3422" priority="317" stopIfTrue="1" operator="equal">
      <formula>"INPUT STARTER IN COLUMN D"</formula>
    </cfRule>
  </conditionalFormatting>
  <conditionalFormatting sqref="P77">
    <cfRule type="cellIs" dxfId="3421" priority="316" stopIfTrue="1" operator="equal">
      <formula>"INPUT STARTER IN COLUMN D"</formula>
    </cfRule>
  </conditionalFormatting>
  <conditionalFormatting sqref="P78">
    <cfRule type="cellIs" dxfId="3420" priority="315" stopIfTrue="1" operator="equal">
      <formula>"INPUT STARTER IN COLUMN D"</formula>
    </cfRule>
  </conditionalFormatting>
  <conditionalFormatting sqref="P79">
    <cfRule type="cellIs" dxfId="3419" priority="314" stopIfTrue="1" operator="equal">
      <formula>"INPUT STARTER IN COLUMN D"</formula>
    </cfRule>
  </conditionalFormatting>
  <conditionalFormatting sqref="P80">
    <cfRule type="cellIs" dxfId="3418" priority="313" stopIfTrue="1" operator="equal">
      <formula>"INPUT STARTER IN COLUMN D"</formula>
    </cfRule>
  </conditionalFormatting>
  <conditionalFormatting sqref="P81">
    <cfRule type="cellIs" dxfId="3417" priority="312" stopIfTrue="1" operator="equal">
      <formula>"INPUT STARTER IN COLUMN D"</formula>
    </cfRule>
  </conditionalFormatting>
  <conditionalFormatting sqref="P82">
    <cfRule type="cellIs" dxfId="3416" priority="311" stopIfTrue="1" operator="equal">
      <formula>"INPUT STARTER IN COLUMN D"</formula>
    </cfRule>
  </conditionalFormatting>
  <conditionalFormatting sqref="P84">
    <cfRule type="cellIs" dxfId="3415" priority="310" stopIfTrue="1" operator="equal">
      <formula>"INPUT STARTER IN COLUMN D"</formula>
    </cfRule>
  </conditionalFormatting>
  <conditionalFormatting sqref="P85">
    <cfRule type="cellIs" dxfId="3414" priority="309" stopIfTrue="1" operator="equal">
      <formula>"INPUT STARTER IN COLUMN D"</formula>
    </cfRule>
  </conditionalFormatting>
  <conditionalFormatting sqref="P86">
    <cfRule type="cellIs" dxfId="3413" priority="308" stopIfTrue="1" operator="equal">
      <formula>"INPUT STARTER IN COLUMN D"</formula>
    </cfRule>
  </conditionalFormatting>
  <conditionalFormatting sqref="P87">
    <cfRule type="cellIs" dxfId="3412" priority="307" stopIfTrue="1" operator="equal">
      <formula>"INPUT STARTER IN COLUMN D"</formula>
    </cfRule>
  </conditionalFormatting>
  <conditionalFormatting sqref="P88">
    <cfRule type="cellIs" dxfId="3411" priority="306" stopIfTrue="1" operator="equal">
      <formula>"INPUT STARTER IN COLUMN D"</formula>
    </cfRule>
  </conditionalFormatting>
  <conditionalFormatting sqref="P89">
    <cfRule type="cellIs" dxfId="3410" priority="305" stopIfTrue="1" operator="equal">
      <formula>"INPUT STARTER IN COLUMN D"</formula>
    </cfRule>
  </conditionalFormatting>
  <conditionalFormatting sqref="P91">
    <cfRule type="cellIs" dxfId="3409" priority="304" stopIfTrue="1" operator="equal">
      <formula>"INPUT STARTER IN COLUMN D"</formula>
    </cfRule>
  </conditionalFormatting>
  <conditionalFormatting sqref="P92">
    <cfRule type="cellIs" dxfId="3408" priority="303" stopIfTrue="1" operator="equal">
      <formula>"INPUT STARTER IN COLUMN D"</formula>
    </cfRule>
  </conditionalFormatting>
  <conditionalFormatting sqref="P93">
    <cfRule type="cellIs" dxfId="3407" priority="302" stopIfTrue="1" operator="equal">
      <formula>"INPUT STARTER IN COLUMN D"</formula>
    </cfRule>
  </conditionalFormatting>
  <conditionalFormatting sqref="P94">
    <cfRule type="cellIs" dxfId="3406" priority="301" stopIfTrue="1" operator="equal">
      <formula>"INPUT STARTER IN COLUMN D"</formula>
    </cfRule>
  </conditionalFormatting>
  <conditionalFormatting sqref="P95">
    <cfRule type="cellIs" dxfId="3405" priority="300" stopIfTrue="1" operator="equal">
      <formula>"INPUT STARTER IN COLUMN D"</formula>
    </cfRule>
  </conditionalFormatting>
  <conditionalFormatting sqref="P96">
    <cfRule type="cellIs" dxfId="3404" priority="299" stopIfTrue="1" operator="equal">
      <formula>"INPUT STARTER IN COLUMN D"</formula>
    </cfRule>
  </conditionalFormatting>
  <conditionalFormatting sqref="P97">
    <cfRule type="cellIs" dxfId="3403" priority="298" stopIfTrue="1" operator="equal">
      <formula>"INPUT STARTER IN COLUMN D"</formula>
    </cfRule>
  </conditionalFormatting>
  <conditionalFormatting sqref="P98">
    <cfRule type="cellIs" dxfId="3402" priority="297" stopIfTrue="1" operator="equal">
      <formula>"INPUT STARTER IN COLUMN D"</formula>
    </cfRule>
  </conditionalFormatting>
  <conditionalFormatting sqref="P99">
    <cfRule type="cellIs" dxfId="3401" priority="296" stopIfTrue="1" operator="equal">
      <formula>"INPUT STARTER IN COLUMN D"</formula>
    </cfRule>
  </conditionalFormatting>
  <conditionalFormatting sqref="P100">
    <cfRule type="cellIs" dxfId="3400" priority="295" stopIfTrue="1" operator="equal">
      <formula>"INPUT STARTER IN COLUMN D"</formula>
    </cfRule>
  </conditionalFormatting>
  <conditionalFormatting sqref="P101">
    <cfRule type="cellIs" dxfId="3399" priority="294" stopIfTrue="1" operator="equal">
      <formula>"INPUT STARTER IN COLUMN D"</formula>
    </cfRule>
  </conditionalFormatting>
  <conditionalFormatting sqref="P102">
    <cfRule type="cellIs" dxfId="3398" priority="293" stopIfTrue="1" operator="equal">
      <formula>"INPUT STARTER IN COLUMN D"</formula>
    </cfRule>
  </conditionalFormatting>
  <conditionalFormatting sqref="P106">
    <cfRule type="cellIs" dxfId="3397" priority="292" stopIfTrue="1" operator="equal">
      <formula>"INPUT STARTER IN COLUMN D"</formula>
    </cfRule>
  </conditionalFormatting>
  <conditionalFormatting sqref="P107">
    <cfRule type="cellIs" dxfId="3396" priority="291" stopIfTrue="1" operator="equal">
      <formula>"INPUT STARTER IN COLUMN D"</formula>
    </cfRule>
  </conditionalFormatting>
  <conditionalFormatting sqref="P108">
    <cfRule type="cellIs" dxfId="3395" priority="290" stopIfTrue="1" operator="equal">
      <formula>"INPUT STARTER IN COLUMN D"</formula>
    </cfRule>
  </conditionalFormatting>
  <conditionalFormatting sqref="P109">
    <cfRule type="cellIs" dxfId="3394" priority="289" stopIfTrue="1" operator="equal">
      <formula>"INPUT STARTER IN COLUMN D"</formula>
    </cfRule>
  </conditionalFormatting>
  <conditionalFormatting sqref="P110">
    <cfRule type="cellIs" dxfId="3393" priority="288" stopIfTrue="1" operator="equal">
      <formula>"INPUT STARTER IN COLUMN D"</formula>
    </cfRule>
  </conditionalFormatting>
  <conditionalFormatting sqref="P111">
    <cfRule type="cellIs" dxfId="3392" priority="287" stopIfTrue="1" operator="equal">
      <formula>"INPUT STARTER IN COLUMN D"</formula>
    </cfRule>
  </conditionalFormatting>
  <conditionalFormatting sqref="P112">
    <cfRule type="cellIs" dxfId="3391" priority="286" stopIfTrue="1" operator="equal">
      <formula>"INPUT STARTER IN COLUMN D"</formula>
    </cfRule>
  </conditionalFormatting>
  <conditionalFormatting sqref="P113">
    <cfRule type="cellIs" dxfId="3390" priority="285" stopIfTrue="1" operator="equal">
      <formula>"INPUT STARTER IN COLUMN D"</formula>
    </cfRule>
  </conditionalFormatting>
  <conditionalFormatting sqref="P114">
    <cfRule type="cellIs" dxfId="3389" priority="284" stopIfTrue="1" operator="equal">
      <formula>"INPUT STARTER IN COLUMN D"</formula>
    </cfRule>
  </conditionalFormatting>
  <conditionalFormatting sqref="P115">
    <cfRule type="cellIs" dxfId="3388" priority="283" stopIfTrue="1" operator="equal">
      <formula>"INPUT STARTER IN COLUMN D"</formula>
    </cfRule>
  </conditionalFormatting>
  <conditionalFormatting sqref="P116">
    <cfRule type="cellIs" dxfId="3387" priority="282" stopIfTrue="1" operator="equal">
      <formula>"INPUT STARTER IN COLUMN D"</formula>
    </cfRule>
  </conditionalFormatting>
  <conditionalFormatting sqref="P117">
    <cfRule type="cellIs" dxfId="3386" priority="281" stopIfTrue="1" operator="equal">
      <formula>"INPUT STARTER IN COLUMN D"</formula>
    </cfRule>
  </conditionalFormatting>
  <conditionalFormatting sqref="P118">
    <cfRule type="cellIs" dxfId="3385" priority="280" stopIfTrue="1" operator="equal">
      <formula>"INPUT STARTER IN COLUMN D"</formula>
    </cfRule>
  </conditionalFormatting>
  <conditionalFormatting sqref="P119">
    <cfRule type="cellIs" dxfId="3384" priority="279" stopIfTrue="1" operator="equal">
      <formula>"INPUT STARTER IN COLUMN D"</formula>
    </cfRule>
  </conditionalFormatting>
  <conditionalFormatting sqref="P120">
    <cfRule type="cellIs" dxfId="3383" priority="278" stopIfTrue="1" operator="equal">
      <formula>"INPUT STARTER IN COLUMN D"</formula>
    </cfRule>
  </conditionalFormatting>
  <conditionalFormatting sqref="P121">
    <cfRule type="cellIs" dxfId="3382" priority="277" stopIfTrue="1" operator="equal">
      <formula>"INPUT STARTER IN COLUMN D"</formula>
    </cfRule>
  </conditionalFormatting>
  <conditionalFormatting sqref="P122">
    <cfRule type="cellIs" dxfId="3381" priority="276" stopIfTrue="1" operator="equal">
      <formula>"INPUT STARTER IN COLUMN D"</formula>
    </cfRule>
  </conditionalFormatting>
  <conditionalFormatting sqref="P123">
    <cfRule type="cellIs" dxfId="3380" priority="275" stopIfTrue="1" operator="equal">
      <formula>"INPUT STARTER IN COLUMN D"</formula>
    </cfRule>
  </conditionalFormatting>
  <conditionalFormatting sqref="P125">
    <cfRule type="cellIs" dxfId="3379" priority="274" stopIfTrue="1" operator="equal">
      <formula>"INPUT STARTER IN COLUMN D"</formula>
    </cfRule>
  </conditionalFormatting>
  <conditionalFormatting sqref="P126">
    <cfRule type="cellIs" dxfId="3378" priority="273" stopIfTrue="1" operator="equal">
      <formula>"INPUT STARTER IN COLUMN D"</formula>
    </cfRule>
  </conditionalFormatting>
  <conditionalFormatting sqref="P127">
    <cfRule type="cellIs" dxfId="3377" priority="272" stopIfTrue="1" operator="equal">
      <formula>"INPUT STARTER IN COLUMN D"</formula>
    </cfRule>
  </conditionalFormatting>
  <conditionalFormatting sqref="P128">
    <cfRule type="cellIs" dxfId="3376" priority="271" stopIfTrue="1" operator="equal">
      <formula>"INPUT STARTER IN COLUMN D"</formula>
    </cfRule>
  </conditionalFormatting>
  <conditionalFormatting sqref="P129">
    <cfRule type="cellIs" dxfId="3375" priority="270" stopIfTrue="1" operator="equal">
      <formula>"INPUT STARTER IN COLUMN D"</formula>
    </cfRule>
  </conditionalFormatting>
  <conditionalFormatting sqref="P130">
    <cfRule type="cellIs" dxfId="3374" priority="269" stopIfTrue="1" operator="equal">
      <formula>"INPUT STARTER IN COLUMN D"</formula>
    </cfRule>
  </conditionalFormatting>
  <conditionalFormatting sqref="P131">
    <cfRule type="cellIs" dxfId="3373" priority="268" stopIfTrue="1" operator="equal">
      <formula>"INPUT STARTER IN COLUMN D"</formula>
    </cfRule>
  </conditionalFormatting>
  <conditionalFormatting sqref="P132">
    <cfRule type="cellIs" dxfId="3372" priority="267" stopIfTrue="1" operator="equal">
      <formula>"INPUT STARTER IN COLUMN D"</formula>
    </cfRule>
  </conditionalFormatting>
  <conditionalFormatting sqref="P133">
    <cfRule type="cellIs" dxfId="3371" priority="266" stopIfTrue="1" operator="equal">
      <formula>"INPUT STARTER IN COLUMN D"</formula>
    </cfRule>
  </conditionalFormatting>
  <conditionalFormatting sqref="P134">
    <cfRule type="cellIs" dxfId="3370" priority="265" stopIfTrue="1" operator="equal">
      <formula>"INPUT STARTER IN COLUMN D"</formula>
    </cfRule>
  </conditionalFormatting>
  <conditionalFormatting sqref="P135">
    <cfRule type="cellIs" dxfId="3369" priority="264" stopIfTrue="1" operator="equal">
      <formula>"INPUT STARTER IN COLUMN D"</formula>
    </cfRule>
  </conditionalFormatting>
  <conditionalFormatting sqref="P136">
    <cfRule type="cellIs" dxfId="3368" priority="263" stopIfTrue="1" operator="equal">
      <formula>"INPUT STARTER IN COLUMN D"</formula>
    </cfRule>
  </conditionalFormatting>
  <conditionalFormatting sqref="P137">
    <cfRule type="cellIs" dxfId="3367" priority="262" stopIfTrue="1" operator="equal">
      <formula>"INPUT STARTER IN COLUMN D"</formula>
    </cfRule>
  </conditionalFormatting>
  <conditionalFormatting sqref="P139">
    <cfRule type="cellIs" dxfId="3366" priority="261" stopIfTrue="1" operator="equal">
      <formula>"INPUT STARTER IN COLUMN D"</formula>
    </cfRule>
  </conditionalFormatting>
  <conditionalFormatting sqref="P140">
    <cfRule type="cellIs" dxfId="3365" priority="260" stopIfTrue="1" operator="equal">
      <formula>"INPUT STARTER IN COLUMN D"</formula>
    </cfRule>
  </conditionalFormatting>
  <conditionalFormatting sqref="P141">
    <cfRule type="cellIs" dxfId="3364" priority="259" stopIfTrue="1" operator="equal">
      <formula>"INPUT STARTER IN COLUMN D"</formula>
    </cfRule>
  </conditionalFormatting>
  <conditionalFormatting sqref="P142">
    <cfRule type="cellIs" dxfId="3363" priority="258" stopIfTrue="1" operator="equal">
      <formula>"INPUT STARTER IN COLUMN D"</formula>
    </cfRule>
  </conditionalFormatting>
  <conditionalFormatting sqref="P143">
    <cfRule type="cellIs" dxfId="3362" priority="257" stopIfTrue="1" operator="equal">
      <formula>"INPUT STARTER IN COLUMN D"</formula>
    </cfRule>
  </conditionalFormatting>
  <conditionalFormatting sqref="P144">
    <cfRule type="cellIs" dxfId="3361" priority="256" stopIfTrue="1" operator="equal">
      <formula>"INPUT STARTER IN COLUMN D"</formula>
    </cfRule>
  </conditionalFormatting>
  <conditionalFormatting sqref="P145">
    <cfRule type="cellIs" dxfId="3360" priority="255" stopIfTrue="1" operator="equal">
      <formula>"INPUT STARTER IN COLUMN D"</formula>
    </cfRule>
  </conditionalFormatting>
  <conditionalFormatting sqref="P146">
    <cfRule type="cellIs" dxfId="3359" priority="254" stopIfTrue="1" operator="equal">
      <formula>"INPUT STARTER IN COLUMN D"</formula>
    </cfRule>
  </conditionalFormatting>
  <conditionalFormatting sqref="P147">
    <cfRule type="cellIs" dxfId="3358" priority="253" stopIfTrue="1" operator="equal">
      <formula>"INPUT STARTER IN COLUMN D"</formula>
    </cfRule>
  </conditionalFormatting>
  <conditionalFormatting sqref="P148">
    <cfRule type="cellIs" dxfId="3357" priority="252" stopIfTrue="1" operator="equal">
      <formula>"INPUT STARTER IN COLUMN D"</formula>
    </cfRule>
  </conditionalFormatting>
  <conditionalFormatting sqref="P149">
    <cfRule type="cellIs" dxfId="3356" priority="251" stopIfTrue="1" operator="equal">
      <formula>"INPUT STARTER IN COLUMN D"</formula>
    </cfRule>
  </conditionalFormatting>
  <conditionalFormatting sqref="P150">
    <cfRule type="cellIs" dxfId="3355" priority="250" stopIfTrue="1" operator="equal">
      <formula>"INPUT STARTER IN COLUMN D"</formula>
    </cfRule>
  </conditionalFormatting>
  <conditionalFormatting sqref="P151">
    <cfRule type="cellIs" dxfId="3354" priority="249" stopIfTrue="1" operator="equal">
      <formula>"INPUT STARTER IN COLUMN D"</formula>
    </cfRule>
  </conditionalFormatting>
  <conditionalFormatting sqref="P152">
    <cfRule type="cellIs" dxfId="3353" priority="248" stopIfTrue="1" operator="equal">
      <formula>"INPUT STARTER IN COLUMN D"</formula>
    </cfRule>
  </conditionalFormatting>
  <conditionalFormatting sqref="P153">
    <cfRule type="cellIs" dxfId="3352" priority="247" stopIfTrue="1" operator="equal">
      <formula>"INPUT STARTER IN COLUMN D"</formula>
    </cfRule>
  </conditionalFormatting>
  <conditionalFormatting sqref="P154">
    <cfRule type="cellIs" dxfId="3351" priority="246" stopIfTrue="1" operator="equal">
      <formula>"INPUT STARTER IN COLUMN D"</formula>
    </cfRule>
  </conditionalFormatting>
  <conditionalFormatting sqref="P155">
    <cfRule type="cellIs" dxfId="3350" priority="245" stopIfTrue="1" operator="equal">
      <formula>"INPUT STARTER IN COLUMN D"</formula>
    </cfRule>
  </conditionalFormatting>
  <conditionalFormatting sqref="P157">
    <cfRule type="cellIs" dxfId="3349" priority="244" stopIfTrue="1" operator="equal">
      <formula>"INPUT STARTER IN COLUMN D"</formula>
    </cfRule>
  </conditionalFormatting>
  <conditionalFormatting sqref="P158">
    <cfRule type="cellIs" dxfId="3348" priority="243" stopIfTrue="1" operator="equal">
      <formula>"INPUT STARTER IN COLUMN D"</formula>
    </cfRule>
  </conditionalFormatting>
  <conditionalFormatting sqref="P159">
    <cfRule type="cellIs" dxfId="3347" priority="242" stopIfTrue="1" operator="equal">
      <formula>"INPUT STARTER IN COLUMN D"</formula>
    </cfRule>
  </conditionalFormatting>
  <conditionalFormatting sqref="P160">
    <cfRule type="cellIs" dxfId="3346" priority="241" stopIfTrue="1" operator="equal">
      <formula>"INPUT STARTER IN COLUMN D"</formula>
    </cfRule>
  </conditionalFormatting>
  <conditionalFormatting sqref="P161">
    <cfRule type="cellIs" dxfId="3345" priority="240" stopIfTrue="1" operator="equal">
      <formula>"INPUT STARTER IN COLUMN D"</formula>
    </cfRule>
  </conditionalFormatting>
  <conditionalFormatting sqref="P162">
    <cfRule type="cellIs" dxfId="3344" priority="239" stopIfTrue="1" operator="equal">
      <formula>"INPUT STARTER IN COLUMN D"</formula>
    </cfRule>
  </conditionalFormatting>
  <conditionalFormatting sqref="P163">
    <cfRule type="cellIs" dxfId="3343" priority="238" stopIfTrue="1" operator="equal">
      <formula>"INPUT STARTER IN COLUMN D"</formula>
    </cfRule>
  </conditionalFormatting>
  <conditionalFormatting sqref="P165">
    <cfRule type="cellIs" dxfId="3342" priority="237" stopIfTrue="1" operator="equal">
      <formula>"INPUT STARTER IN COLUMN D"</formula>
    </cfRule>
  </conditionalFormatting>
  <conditionalFormatting sqref="P166">
    <cfRule type="cellIs" dxfId="3341" priority="236" stopIfTrue="1" operator="equal">
      <formula>"INPUT STARTER IN COLUMN D"</formula>
    </cfRule>
  </conditionalFormatting>
  <conditionalFormatting sqref="P167">
    <cfRule type="cellIs" dxfId="3340" priority="235" stopIfTrue="1" operator="equal">
      <formula>"INPUT STARTER IN COLUMN D"</formula>
    </cfRule>
  </conditionalFormatting>
  <conditionalFormatting sqref="P168">
    <cfRule type="cellIs" dxfId="3339" priority="234" stopIfTrue="1" operator="equal">
      <formula>"INPUT STARTER IN COLUMN D"</formula>
    </cfRule>
  </conditionalFormatting>
  <conditionalFormatting sqref="P169">
    <cfRule type="cellIs" dxfId="3338" priority="233" stopIfTrue="1" operator="equal">
      <formula>"INPUT STARTER IN COLUMN D"</formula>
    </cfRule>
  </conditionalFormatting>
  <conditionalFormatting sqref="P170">
    <cfRule type="cellIs" dxfId="3337" priority="232" stopIfTrue="1" operator="equal">
      <formula>"INPUT STARTER IN COLUMN D"</formula>
    </cfRule>
  </conditionalFormatting>
  <conditionalFormatting sqref="P171">
    <cfRule type="cellIs" dxfId="3336" priority="231" stopIfTrue="1" operator="equal">
      <formula>"INPUT STARTER IN COLUMN D"</formula>
    </cfRule>
  </conditionalFormatting>
  <conditionalFormatting sqref="P172">
    <cfRule type="cellIs" dxfId="3335" priority="230" stopIfTrue="1" operator="equal">
      <formula>"INPUT STARTER IN COLUMN D"</formula>
    </cfRule>
  </conditionalFormatting>
  <conditionalFormatting sqref="P173">
    <cfRule type="cellIs" dxfId="3334" priority="229" stopIfTrue="1" operator="equal">
      <formula>"INPUT STARTER IN COLUMN D"</formula>
    </cfRule>
  </conditionalFormatting>
  <conditionalFormatting sqref="P174">
    <cfRule type="cellIs" dxfId="3333" priority="228" stopIfTrue="1" operator="equal">
      <formula>"INPUT STARTER IN COLUMN D"</formula>
    </cfRule>
  </conditionalFormatting>
  <conditionalFormatting sqref="P176">
    <cfRule type="cellIs" dxfId="3332" priority="227" stopIfTrue="1" operator="equal">
      <formula>"INPUT STARTER IN COLUMN D"</formula>
    </cfRule>
  </conditionalFormatting>
  <conditionalFormatting sqref="P177">
    <cfRule type="cellIs" dxfId="3331" priority="226" stopIfTrue="1" operator="equal">
      <formula>"INPUT STARTER IN COLUMN D"</formula>
    </cfRule>
  </conditionalFormatting>
  <conditionalFormatting sqref="P178">
    <cfRule type="cellIs" dxfId="3330" priority="225" stopIfTrue="1" operator="equal">
      <formula>"INPUT STARTER IN COLUMN D"</formula>
    </cfRule>
  </conditionalFormatting>
  <conditionalFormatting sqref="P179">
    <cfRule type="cellIs" dxfId="3329" priority="224" stopIfTrue="1" operator="equal">
      <formula>"INPUT STARTER IN COLUMN D"</formula>
    </cfRule>
  </conditionalFormatting>
  <conditionalFormatting sqref="P180">
    <cfRule type="cellIs" dxfId="3328" priority="223" stopIfTrue="1" operator="equal">
      <formula>"INPUT STARTER IN COLUMN D"</formula>
    </cfRule>
  </conditionalFormatting>
  <conditionalFormatting sqref="P181">
    <cfRule type="cellIs" dxfId="3327" priority="222" stopIfTrue="1" operator="equal">
      <formula>"INPUT STARTER IN COLUMN D"</formula>
    </cfRule>
  </conditionalFormatting>
  <conditionalFormatting sqref="P182">
    <cfRule type="cellIs" dxfId="3326" priority="221" stopIfTrue="1" operator="equal">
      <formula>"INPUT STARTER IN COLUMN D"</formula>
    </cfRule>
  </conditionalFormatting>
  <conditionalFormatting sqref="P183">
    <cfRule type="cellIs" dxfId="3325" priority="220" stopIfTrue="1" operator="equal">
      <formula>"INPUT STARTER IN COLUMN D"</formula>
    </cfRule>
  </conditionalFormatting>
  <conditionalFormatting sqref="P184">
    <cfRule type="cellIs" dxfId="3324" priority="219" stopIfTrue="1" operator="equal">
      <formula>"INPUT STARTER IN COLUMN D"</formula>
    </cfRule>
  </conditionalFormatting>
  <conditionalFormatting sqref="P185">
    <cfRule type="cellIs" dxfId="3323" priority="218" stopIfTrue="1" operator="equal">
      <formula>"INPUT STARTER IN COLUMN D"</formula>
    </cfRule>
  </conditionalFormatting>
  <conditionalFormatting sqref="AK3:AK22">
    <cfRule type="cellIs" dxfId="3322" priority="217" stopIfTrue="1" operator="equal">
      <formula>"must average at least 5 innings per start"</formula>
    </cfRule>
  </conditionalFormatting>
  <conditionalFormatting sqref="AK23">
    <cfRule type="cellIs" dxfId="3321" priority="216" stopIfTrue="1" operator="equal">
      <formula>"must have 162 starts"</formula>
    </cfRule>
  </conditionalFormatting>
  <conditionalFormatting sqref="AH3:AH22">
    <cfRule type="cellIs" dxfId="3320" priority="215" stopIfTrue="1" operator="equal">
      <formula>"must average at least 5 innings per start"</formula>
    </cfRule>
  </conditionalFormatting>
  <conditionalFormatting sqref="AH23">
    <cfRule type="cellIs" dxfId="3319" priority="214" stopIfTrue="1" operator="equal">
      <formula>"must have 162 starts"</formula>
    </cfRule>
  </conditionalFormatting>
  <conditionalFormatting sqref="AG3:AG22">
    <cfRule type="cellIs" dxfId="3318" priority="213" stopIfTrue="1" operator="equal">
      <formula>"must average at least 5 innings per start"</formula>
    </cfRule>
  </conditionalFormatting>
  <conditionalFormatting sqref="AG23">
    <cfRule type="cellIs" dxfId="3317" priority="212" stopIfTrue="1" operator="equal">
      <formula>"must have 162 starts"</formula>
    </cfRule>
  </conditionalFormatting>
  <conditionalFormatting sqref="AK3:AK22">
    <cfRule type="cellIs" dxfId="3316" priority="211" stopIfTrue="1" operator="equal">
      <formula>"must average at least 5 innings per start"</formula>
    </cfRule>
  </conditionalFormatting>
  <conditionalFormatting sqref="AK23">
    <cfRule type="cellIs" dxfId="3315" priority="210" stopIfTrue="1" operator="equal">
      <formula>"must have 162 starts"</formula>
    </cfRule>
  </conditionalFormatting>
  <conditionalFormatting sqref="AH3:AH22">
    <cfRule type="cellIs" dxfId="3314" priority="209" stopIfTrue="1" operator="equal">
      <formula>"must average at least 5 innings per start"</formula>
    </cfRule>
  </conditionalFormatting>
  <conditionalFormatting sqref="AH23">
    <cfRule type="cellIs" dxfId="3313" priority="208" stopIfTrue="1" operator="equal">
      <formula>"must have 162 starts"</formula>
    </cfRule>
  </conditionalFormatting>
  <conditionalFormatting sqref="AG3:AG22">
    <cfRule type="cellIs" dxfId="3312" priority="207" stopIfTrue="1" operator="equal">
      <formula>"must average at least 5 innings per start"</formula>
    </cfRule>
  </conditionalFormatting>
  <conditionalFormatting sqref="AG23">
    <cfRule type="cellIs" dxfId="3311" priority="206" stopIfTrue="1" operator="equal">
      <formula>"must have 162 starts"</formula>
    </cfRule>
  </conditionalFormatting>
  <conditionalFormatting sqref="AK3:AK22">
    <cfRule type="cellIs" dxfId="3310" priority="205" stopIfTrue="1" operator="equal">
      <formula>"must average at least 5 innings per start"</formula>
    </cfRule>
  </conditionalFormatting>
  <conditionalFormatting sqref="AK23">
    <cfRule type="cellIs" dxfId="3309" priority="204" stopIfTrue="1" operator="equal">
      <formula>"must have 162 starts"</formula>
    </cfRule>
  </conditionalFormatting>
  <conditionalFormatting sqref="AH3:AH22">
    <cfRule type="cellIs" dxfId="3308" priority="203" stopIfTrue="1" operator="equal">
      <formula>"must average at least 5 innings per start"</formula>
    </cfRule>
  </conditionalFormatting>
  <conditionalFormatting sqref="AH23">
    <cfRule type="cellIs" dxfId="3307" priority="202" stopIfTrue="1" operator="equal">
      <formula>"must have 162 starts"</formula>
    </cfRule>
  </conditionalFormatting>
  <conditionalFormatting sqref="AG3:AG22">
    <cfRule type="cellIs" dxfId="3306" priority="201" stopIfTrue="1" operator="equal">
      <formula>"must average at least 5 innings per start"</formula>
    </cfRule>
  </conditionalFormatting>
  <conditionalFormatting sqref="AG23">
    <cfRule type="cellIs" dxfId="3305" priority="200" stopIfTrue="1" operator="equal">
      <formula>"must have 162 starts"</formula>
    </cfRule>
  </conditionalFormatting>
  <conditionalFormatting sqref="AK3:AK22">
    <cfRule type="cellIs" dxfId="3304" priority="199" stopIfTrue="1" operator="equal">
      <formula>"must average at least 5 innings per start"</formula>
    </cfRule>
  </conditionalFormatting>
  <conditionalFormatting sqref="AK23">
    <cfRule type="cellIs" dxfId="3303" priority="198" stopIfTrue="1" operator="equal">
      <formula>"must have 162 starts"</formula>
    </cfRule>
  </conditionalFormatting>
  <conditionalFormatting sqref="AH3:AH22">
    <cfRule type="cellIs" dxfId="3302" priority="197" stopIfTrue="1" operator="equal">
      <formula>"must average at least 5 innings per start"</formula>
    </cfRule>
  </conditionalFormatting>
  <conditionalFormatting sqref="AH23">
    <cfRule type="cellIs" dxfId="3301" priority="196" stopIfTrue="1" operator="equal">
      <formula>"must have 162 starts"</formula>
    </cfRule>
  </conditionalFormatting>
  <conditionalFormatting sqref="AG3:AG22">
    <cfRule type="cellIs" dxfId="3300" priority="195" stopIfTrue="1" operator="equal">
      <formula>"must average at least 5 innings per start"</formula>
    </cfRule>
  </conditionalFormatting>
  <conditionalFormatting sqref="AG23">
    <cfRule type="cellIs" dxfId="3299" priority="194" stopIfTrue="1" operator="equal">
      <formula>"must have 162 starts"</formula>
    </cfRule>
  </conditionalFormatting>
  <conditionalFormatting sqref="AK3:AK22">
    <cfRule type="cellIs" dxfId="3298" priority="193" stopIfTrue="1" operator="equal">
      <formula>"must average at least 5 innings per start"</formula>
    </cfRule>
  </conditionalFormatting>
  <conditionalFormatting sqref="AK23">
    <cfRule type="cellIs" dxfId="3297" priority="192" stopIfTrue="1" operator="equal">
      <formula>"must have 162 starts"</formula>
    </cfRule>
  </conditionalFormatting>
  <conditionalFormatting sqref="AH3:AH22">
    <cfRule type="cellIs" dxfId="3296" priority="191" stopIfTrue="1" operator="equal">
      <formula>"must average at least 5 innings per start"</formula>
    </cfRule>
  </conditionalFormatting>
  <conditionalFormatting sqref="AH23">
    <cfRule type="cellIs" dxfId="3295" priority="190" stopIfTrue="1" operator="equal">
      <formula>"must have 162 starts"</formula>
    </cfRule>
  </conditionalFormatting>
  <conditionalFormatting sqref="AG3:AG22">
    <cfRule type="cellIs" dxfId="3294" priority="189" stopIfTrue="1" operator="equal">
      <formula>"must average at least 5 innings per start"</formula>
    </cfRule>
  </conditionalFormatting>
  <conditionalFormatting sqref="AG23">
    <cfRule type="cellIs" dxfId="3293" priority="188" stopIfTrue="1" operator="equal">
      <formula>"must have 162 starts"</formula>
    </cfRule>
  </conditionalFormatting>
  <conditionalFormatting sqref="AK3:AK22">
    <cfRule type="cellIs" dxfId="3292" priority="187" stopIfTrue="1" operator="equal">
      <formula>"must average at least 5 innings per start"</formula>
    </cfRule>
  </conditionalFormatting>
  <conditionalFormatting sqref="AK23">
    <cfRule type="cellIs" dxfId="3291" priority="186" stopIfTrue="1" operator="equal">
      <formula>"must have 162 starts"</formula>
    </cfRule>
  </conditionalFormatting>
  <conditionalFormatting sqref="AH3:AH22">
    <cfRule type="cellIs" dxfId="3290" priority="185" stopIfTrue="1" operator="equal">
      <formula>"must average at least 5 innings per start"</formula>
    </cfRule>
  </conditionalFormatting>
  <conditionalFormatting sqref="AH23">
    <cfRule type="cellIs" dxfId="3289" priority="184" stopIfTrue="1" operator="equal">
      <formula>"must have 162 starts"</formula>
    </cfRule>
  </conditionalFormatting>
  <conditionalFormatting sqref="AG3:AG22">
    <cfRule type="cellIs" dxfId="3288" priority="183" stopIfTrue="1" operator="equal">
      <formula>"must average at least 5 innings per start"</formula>
    </cfRule>
  </conditionalFormatting>
  <conditionalFormatting sqref="AG23">
    <cfRule type="cellIs" dxfId="3287" priority="182" stopIfTrue="1" operator="equal">
      <formula>"must have 162 starts"</formula>
    </cfRule>
  </conditionalFormatting>
  <conditionalFormatting sqref="AK3:AK22">
    <cfRule type="cellIs" dxfId="3286" priority="181" stopIfTrue="1" operator="equal">
      <formula>"must average at least 5 innings per start"</formula>
    </cfRule>
  </conditionalFormatting>
  <conditionalFormatting sqref="AK23">
    <cfRule type="cellIs" dxfId="3285" priority="180" stopIfTrue="1" operator="equal">
      <formula>"must have 162 starts"</formula>
    </cfRule>
  </conditionalFormatting>
  <conditionalFormatting sqref="AH3:AH22">
    <cfRule type="cellIs" dxfId="3284" priority="179" stopIfTrue="1" operator="equal">
      <formula>"must average at least 5 innings per start"</formula>
    </cfRule>
  </conditionalFormatting>
  <conditionalFormatting sqref="AH23">
    <cfRule type="cellIs" dxfId="3283" priority="178" stopIfTrue="1" operator="equal">
      <formula>"must have 162 starts"</formula>
    </cfRule>
  </conditionalFormatting>
  <conditionalFormatting sqref="AG3:AG22">
    <cfRule type="cellIs" dxfId="3282" priority="177" stopIfTrue="1" operator="equal">
      <formula>"must average at least 5 innings per start"</formula>
    </cfRule>
  </conditionalFormatting>
  <conditionalFormatting sqref="AG23">
    <cfRule type="cellIs" dxfId="3281" priority="176" stopIfTrue="1" operator="equal">
      <formula>"must have 162 starts"</formula>
    </cfRule>
  </conditionalFormatting>
  <conditionalFormatting sqref="AK3:AK22">
    <cfRule type="cellIs" dxfId="3280" priority="175" stopIfTrue="1" operator="equal">
      <formula>"must average at least 5 innings per start"</formula>
    </cfRule>
  </conditionalFormatting>
  <conditionalFormatting sqref="AK23">
    <cfRule type="cellIs" dxfId="3279" priority="174" stopIfTrue="1" operator="equal">
      <formula>"must have 162 starts"</formula>
    </cfRule>
  </conditionalFormatting>
  <conditionalFormatting sqref="AH3:AH22">
    <cfRule type="cellIs" dxfId="3278" priority="173" stopIfTrue="1" operator="equal">
      <formula>"must average at least 5 innings per start"</formula>
    </cfRule>
  </conditionalFormatting>
  <conditionalFormatting sqref="AH23">
    <cfRule type="cellIs" dxfId="3277" priority="172" stopIfTrue="1" operator="equal">
      <formula>"must have 162 starts"</formula>
    </cfRule>
  </conditionalFormatting>
  <conditionalFormatting sqref="AG3:AG22">
    <cfRule type="cellIs" dxfId="3276" priority="171" stopIfTrue="1" operator="equal">
      <formula>"must average at least 5 innings per start"</formula>
    </cfRule>
  </conditionalFormatting>
  <conditionalFormatting sqref="AG23">
    <cfRule type="cellIs" dxfId="3275" priority="170" stopIfTrue="1" operator="equal">
      <formula>"must have 162 starts"</formula>
    </cfRule>
  </conditionalFormatting>
  <conditionalFormatting sqref="AK3:AK22">
    <cfRule type="cellIs" dxfId="3274" priority="169" stopIfTrue="1" operator="equal">
      <formula>"must average at least 5 innings per start"</formula>
    </cfRule>
  </conditionalFormatting>
  <conditionalFormatting sqref="AK23">
    <cfRule type="cellIs" dxfId="3273" priority="168" stopIfTrue="1" operator="equal">
      <formula>"must have 162 starts"</formula>
    </cfRule>
  </conditionalFormatting>
  <conditionalFormatting sqref="AH3:AH22">
    <cfRule type="cellIs" dxfId="3272" priority="167" stopIfTrue="1" operator="equal">
      <formula>"must average at least 5 innings per start"</formula>
    </cfRule>
  </conditionalFormatting>
  <conditionalFormatting sqref="AH23">
    <cfRule type="cellIs" dxfId="3271" priority="166" stopIfTrue="1" operator="equal">
      <formula>"must have 162 starts"</formula>
    </cfRule>
  </conditionalFormatting>
  <conditionalFormatting sqref="AG3:AG22">
    <cfRule type="cellIs" dxfId="3270" priority="165" stopIfTrue="1" operator="equal">
      <formula>"must average at least 5 innings per start"</formula>
    </cfRule>
  </conditionalFormatting>
  <conditionalFormatting sqref="AG23">
    <cfRule type="cellIs" dxfId="3269" priority="164" stopIfTrue="1" operator="equal">
      <formula>"must have 162 starts"</formula>
    </cfRule>
  </conditionalFormatting>
  <conditionalFormatting sqref="AK3:AK22">
    <cfRule type="cellIs" dxfId="3268" priority="163" stopIfTrue="1" operator="equal">
      <formula>"must average at least 5 innings per start"</formula>
    </cfRule>
  </conditionalFormatting>
  <conditionalFormatting sqref="AK23">
    <cfRule type="cellIs" dxfId="3267" priority="162" stopIfTrue="1" operator="equal">
      <formula>"must have 162 starts"</formula>
    </cfRule>
  </conditionalFormatting>
  <conditionalFormatting sqref="AH3:AH22">
    <cfRule type="cellIs" dxfId="3266" priority="161" stopIfTrue="1" operator="equal">
      <formula>"must average at least 5 innings per start"</formula>
    </cfRule>
  </conditionalFormatting>
  <conditionalFormatting sqref="AH23">
    <cfRule type="cellIs" dxfId="3265" priority="160" stopIfTrue="1" operator="equal">
      <formula>"must have 162 starts"</formula>
    </cfRule>
  </conditionalFormatting>
  <conditionalFormatting sqref="AG3:AG22">
    <cfRule type="cellIs" dxfId="3264" priority="159" stopIfTrue="1" operator="equal">
      <formula>"must average at least 5 innings per start"</formula>
    </cfRule>
  </conditionalFormatting>
  <conditionalFormatting sqref="AG23">
    <cfRule type="cellIs" dxfId="3263" priority="158" stopIfTrue="1" operator="equal">
      <formula>"must have 162 starts"</formula>
    </cfRule>
  </conditionalFormatting>
  <conditionalFormatting sqref="AK3:AK22">
    <cfRule type="cellIs" dxfId="3262" priority="157" stopIfTrue="1" operator="equal">
      <formula>"must average at least 5 innings per start"</formula>
    </cfRule>
  </conditionalFormatting>
  <conditionalFormatting sqref="AK23">
    <cfRule type="cellIs" dxfId="3261" priority="156" stopIfTrue="1" operator="equal">
      <formula>"must have 162 starts"</formula>
    </cfRule>
  </conditionalFormatting>
  <conditionalFormatting sqref="AH3:AH22">
    <cfRule type="cellIs" dxfId="3260" priority="155" stopIfTrue="1" operator="equal">
      <formula>"must average at least 5 innings per start"</formula>
    </cfRule>
  </conditionalFormatting>
  <conditionalFormatting sqref="AH23">
    <cfRule type="cellIs" dxfId="3259" priority="154" stopIfTrue="1" operator="equal">
      <formula>"must have 162 starts"</formula>
    </cfRule>
  </conditionalFormatting>
  <conditionalFormatting sqref="AG3:AG22">
    <cfRule type="cellIs" dxfId="3258" priority="153" stopIfTrue="1" operator="equal">
      <formula>"must average at least 5 innings per start"</formula>
    </cfRule>
  </conditionalFormatting>
  <conditionalFormatting sqref="AG23">
    <cfRule type="cellIs" dxfId="3257" priority="152" stopIfTrue="1" operator="equal">
      <formula>"must have 162 starts"</formula>
    </cfRule>
  </conditionalFormatting>
  <conditionalFormatting sqref="AK3:AK22">
    <cfRule type="cellIs" dxfId="3256" priority="151" stopIfTrue="1" operator="equal">
      <formula>"must average at least 5 innings per start"</formula>
    </cfRule>
  </conditionalFormatting>
  <conditionalFormatting sqref="AK23">
    <cfRule type="cellIs" dxfId="3255" priority="150" stopIfTrue="1" operator="equal">
      <formula>"must have 162 starts"</formula>
    </cfRule>
  </conditionalFormatting>
  <conditionalFormatting sqref="AH3:AH22">
    <cfRule type="cellIs" dxfId="3254" priority="149" stopIfTrue="1" operator="equal">
      <formula>"must average at least 5 innings per start"</formula>
    </cfRule>
  </conditionalFormatting>
  <conditionalFormatting sqref="AH23">
    <cfRule type="cellIs" dxfId="3253" priority="148" stopIfTrue="1" operator="equal">
      <formula>"must have 162 starts"</formula>
    </cfRule>
  </conditionalFormatting>
  <conditionalFormatting sqref="AG3:AG22">
    <cfRule type="cellIs" dxfId="3252" priority="147" stopIfTrue="1" operator="equal">
      <formula>"must average at least 5 innings per start"</formula>
    </cfRule>
  </conditionalFormatting>
  <conditionalFormatting sqref="AG23">
    <cfRule type="cellIs" dxfId="3251" priority="146" stopIfTrue="1" operator="equal">
      <formula>"must have 162 starts"</formula>
    </cfRule>
  </conditionalFormatting>
  <conditionalFormatting sqref="AK3:AK22">
    <cfRule type="cellIs" dxfId="3250" priority="145" stopIfTrue="1" operator="equal">
      <formula>"must average at least 5 innings per start"</formula>
    </cfRule>
  </conditionalFormatting>
  <conditionalFormatting sqref="AK23">
    <cfRule type="cellIs" dxfId="3249" priority="144" stopIfTrue="1" operator="equal">
      <formula>"must have 162 starts"</formula>
    </cfRule>
  </conditionalFormatting>
  <conditionalFormatting sqref="AH3:AH22">
    <cfRule type="cellIs" dxfId="3248" priority="143" stopIfTrue="1" operator="equal">
      <formula>"must average at least 5 innings per start"</formula>
    </cfRule>
  </conditionalFormatting>
  <conditionalFormatting sqref="AH23">
    <cfRule type="cellIs" dxfId="3247" priority="142" stopIfTrue="1" operator="equal">
      <formula>"must have 162 starts"</formula>
    </cfRule>
  </conditionalFormatting>
  <conditionalFormatting sqref="AG3:AG22">
    <cfRule type="cellIs" dxfId="3246" priority="141" stopIfTrue="1" operator="equal">
      <formula>"must average at least 5 innings per start"</formula>
    </cfRule>
  </conditionalFormatting>
  <conditionalFormatting sqref="AG23">
    <cfRule type="cellIs" dxfId="3245" priority="140" stopIfTrue="1" operator="equal">
      <formula>"must have 162 starts"</formula>
    </cfRule>
  </conditionalFormatting>
  <conditionalFormatting sqref="AK3:AK22">
    <cfRule type="cellIs" dxfId="3244" priority="139" stopIfTrue="1" operator="equal">
      <formula>"must average at least 5 innings per start"</formula>
    </cfRule>
  </conditionalFormatting>
  <conditionalFormatting sqref="AK23">
    <cfRule type="cellIs" dxfId="3243" priority="138" stopIfTrue="1" operator="equal">
      <formula>"must have 162 starts"</formula>
    </cfRule>
  </conditionalFormatting>
  <conditionalFormatting sqref="AH3:AH22">
    <cfRule type="cellIs" dxfId="3242" priority="137" stopIfTrue="1" operator="equal">
      <formula>"must average at least 5 innings per start"</formula>
    </cfRule>
  </conditionalFormatting>
  <conditionalFormatting sqref="AH23">
    <cfRule type="cellIs" dxfId="3241" priority="136" stopIfTrue="1" operator="equal">
      <formula>"must have 162 starts"</formula>
    </cfRule>
  </conditionalFormatting>
  <conditionalFormatting sqref="AG3:AG22">
    <cfRule type="cellIs" dxfId="3240" priority="135" stopIfTrue="1" operator="equal">
      <formula>"must average at least 5 innings per start"</formula>
    </cfRule>
  </conditionalFormatting>
  <conditionalFormatting sqref="AG23">
    <cfRule type="cellIs" dxfId="3239" priority="134" stopIfTrue="1" operator="equal">
      <formula>"must have 162 starts"</formula>
    </cfRule>
  </conditionalFormatting>
  <conditionalFormatting sqref="AK3:AK22">
    <cfRule type="cellIs" dxfId="3238" priority="133" stopIfTrue="1" operator="equal">
      <formula>"must average at least 5 innings per start"</formula>
    </cfRule>
  </conditionalFormatting>
  <conditionalFormatting sqref="AK23">
    <cfRule type="cellIs" dxfId="3237" priority="132" stopIfTrue="1" operator="equal">
      <formula>"must have 162 starts"</formula>
    </cfRule>
  </conditionalFormatting>
  <conditionalFormatting sqref="AH3:AH22">
    <cfRule type="cellIs" dxfId="3236" priority="131" stopIfTrue="1" operator="equal">
      <formula>"must average at least 5 innings per start"</formula>
    </cfRule>
  </conditionalFormatting>
  <conditionalFormatting sqref="AH23">
    <cfRule type="cellIs" dxfId="3235" priority="130" stopIfTrue="1" operator="equal">
      <formula>"must have 162 starts"</formula>
    </cfRule>
  </conditionalFormatting>
  <conditionalFormatting sqref="AG3:AG22">
    <cfRule type="cellIs" dxfId="3234" priority="129" stopIfTrue="1" operator="equal">
      <formula>"must average at least 5 innings per start"</formula>
    </cfRule>
  </conditionalFormatting>
  <conditionalFormatting sqref="AG23">
    <cfRule type="cellIs" dxfId="3233" priority="128" stopIfTrue="1" operator="equal">
      <formula>"must have 162 starts"</formula>
    </cfRule>
  </conditionalFormatting>
  <conditionalFormatting sqref="AK3:AK22">
    <cfRule type="cellIs" dxfId="3232" priority="127" stopIfTrue="1" operator="equal">
      <formula>"must average at least 5 innings per start"</formula>
    </cfRule>
  </conditionalFormatting>
  <conditionalFormatting sqref="AK23">
    <cfRule type="cellIs" dxfId="3231" priority="126" stopIfTrue="1" operator="equal">
      <formula>"must have 162 starts"</formula>
    </cfRule>
  </conditionalFormatting>
  <conditionalFormatting sqref="AH3:AH22">
    <cfRule type="cellIs" dxfId="3230" priority="125" stopIfTrue="1" operator="equal">
      <formula>"must average at least 5 innings per start"</formula>
    </cfRule>
  </conditionalFormatting>
  <conditionalFormatting sqref="AH23">
    <cfRule type="cellIs" dxfId="3229" priority="124" stopIfTrue="1" operator="equal">
      <formula>"must have 162 starts"</formula>
    </cfRule>
  </conditionalFormatting>
  <conditionalFormatting sqref="AG3:AG22">
    <cfRule type="cellIs" dxfId="3228" priority="123" stopIfTrue="1" operator="equal">
      <formula>"must average at least 5 innings per start"</formula>
    </cfRule>
  </conditionalFormatting>
  <conditionalFormatting sqref="AG23">
    <cfRule type="cellIs" dxfId="3227" priority="122" stopIfTrue="1" operator="equal">
      <formula>"must have 162 starts"</formula>
    </cfRule>
  </conditionalFormatting>
  <conditionalFormatting sqref="AK3:AK22">
    <cfRule type="cellIs" dxfId="3226" priority="121" stopIfTrue="1" operator="equal">
      <formula>"must average at least 5 innings per start"</formula>
    </cfRule>
  </conditionalFormatting>
  <conditionalFormatting sqref="AK23">
    <cfRule type="cellIs" dxfId="3225" priority="120" stopIfTrue="1" operator="equal">
      <formula>"must have 162 starts"</formula>
    </cfRule>
  </conditionalFormatting>
  <conditionalFormatting sqref="AH3:AH22">
    <cfRule type="cellIs" dxfId="3224" priority="119" stopIfTrue="1" operator="equal">
      <formula>"must average at least 5 innings per start"</formula>
    </cfRule>
  </conditionalFormatting>
  <conditionalFormatting sqref="AH23">
    <cfRule type="cellIs" dxfId="3223" priority="118" stopIfTrue="1" operator="equal">
      <formula>"must have 162 starts"</formula>
    </cfRule>
  </conditionalFormatting>
  <conditionalFormatting sqref="AG3:AG22">
    <cfRule type="cellIs" dxfId="3222" priority="117" stopIfTrue="1" operator="equal">
      <formula>"must average at least 5 innings per start"</formula>
    </cfRule>
  </conditionalFormatting>
  <conditionalFormatting sqref="AG23">
    <cfRule type="cellIs" dxfId="3221" priority="116" stopIfTrue="1" operator="equal">
      <formula>"must have 162 starts"</formula>
    </cfRule>
  </conditionalFormatting>
  <conditionalFormatting sqref="AK3:AK22">
    <cfRule type="cellIs" dxfId="3220" priority="115" stopIfTrue="1" operator="equal">
      <formula>"must average at least 5 innings per start"</formula>
    </cfRule>
  </conditionalFormatting>
  <conditionalFormatting sqref="AK23">
    <cfRule type="cellIs" dxfId="3219" priority="114" stopIfTrue="1" operator="equal">
      <formula>"must have 162 starts"</formula>
    </cfRule>
  </conditionalFormatting>
  <conditionalFormatting sqref="AH3:AH22">
    <cfRule type="cellIs" dxfId="3218" priority="113" stopIfTrue="1" operator="equal">
      <formula>"must average at least 5 innings per start"</formula>
    </cfRule>
  </conditionalFormatting>
  <conditionalFormatting sqref="AH23">
    <cfRule type="cellIs" dxfId="3217" priority="112" stopIfTrue="1" operator="equal">
      <formula>"must have 162 starts"</formula>
    </cfRule>
  </conditionalFormatting>
  <conditionalFormatting sqref="AG3:AG22">
    <cfRule type="cellIs" dxfId="3216" priority="111" stopIfTrue="1" operator="equal">
      <formula>"must average at least 5 innings per start"</formula>
    </cfRule>
  </conditionalFormatting>
  <conditionalFormatting sqref="AG23">
    <cfRule type="cellIs" dxfId="3215" priority="110" stopIfTrue="1" operator="equal">
      <formula>"must have 162 starts"</formula>
    </cfRule>
  </conditionalFormatting>
  <conditionalFormatting sqref="AK3:AK22">
    <cfRule type="cellIs" dxfId="3214" priority="109" stopIfTrue="1" operator="equal">
      <formula>"must average at least 5 innings per start"</formula>
    </cfRule>
  </conditionalFormatting>
  <conditionalFormatting sqref="AK23">
    <cfRule type="cellIs" dxfId="3213" priority="108" stopIfTrue="1" operator="equal">
      <formula>"must have 162 starts"</formula>
    </cfRule>
  </conditionalFormatting>
  <conditionalFormatting sqref="AH3:AH22">
    <cfRule type="cellIs" dxfId="3212" priority="107" stopIfTrue="1" operator="equal">
      <formula>"must average at least 5 innings per start"</formula>
    </cfRule>
  </conditionalFormatting>
  <conditionalFormatting sqref="AH23">
    <cfRule type="cellIs" dxfId="3211" priority="106" stopIfTrue="1" operator="equal">
      <formula>"must have 162 starts"</formula>
    </cfRule>
  </conditionalFormatting>
  <conditionalFormatting sqref="AG3:AG22">
    <cfRule type="cellIs" dxfId="3210" priority="105" stopIfTrue="1" operator="equal">
      <formula>"must average at least 5 innings per start"</formula>
    </cfRule>
  </conditionalFormatting>
  <conditionalFormatting sqref="AG23">
    <cfRule type="cellIs" dxfId="3209" priority="104" stopIfTrue="1" operator="equal">
      <formula>"must have 162 starts"</formula>
    </cfRule>
  </conditionalFormatting>
  <conditionalFormatting sqref="AG3:AG22">
    <cfRule type="cellIs" dxfId="3208" priority="103" stopIfTrue="1" operator="equal">
      <formula>"must average at least 5 innings per start"</formula>
    </cfRule>
  </conditionalFormatting>
  <conditionalFormatting sqref="AG23">
    <cfRule type="cellIs" dxfId="3207" priority="102" stopIfTrue="1" operator="equal">
      <formula>"must have 162 starts"</formula>
    </cfRule>
  </conditionalFormatting>
  <conditionalFormatting sqref="AK3:AK22">
    <cfRule type="cellIs" dxfId="3206" priority="101" stopIfTrue="1" operator="equal">
      <formula>"must average at least 5 innings per start"</formula>
    </cfRule>
  </conditionalFormatting>
  <conditionalFormatting sqref="AK23">
    <cfRule type="cellIs" dxfId="3205" priority="100" stopIfTrue="1" operator="equal">
      <formula>"must have 162 starts"</formula>
    </cfRule>
  </conditionalFormatting>
  <conditionalFormatting sqref="AK3:AK22">
    <cfRule type="cellIs" dxfId="3204" priority="99" stopIfTrue="1" operator="equal">
      <formula>"must average at least 5 innings per start"</formula>
    </cfRule>
  </conditionalFormatting>
  <conditionalFormatting sqref="AK23">
    <cfRule type="cellIs" dxfId="3203" priority="98" stopIfTrue="1" operator="equal">
      <formula>"must have 162 starts"</formula>
    </cfRule>
  </conditionalFormatting>
  <conditionalFormatting sqref="AK3:AK22">
    <cfRule type="cellIs" dxfId="3202" priority="97" stopIfTrue="1" operator="equal">
      <formula>"must average at least 5 innings per start"</formula>
    </cfRule>
  </conditionalFormatting>
  <conditionalFormatting sqref="AK23">
    <cfRule type="cellIs" dxfId="3201" priority="96" stopIfTrue="1" operator="equal">
      <formula>"must have 162 starts"</formula>
    </cfRule>
  </conditionalFormatting>
  <conditionalFormatting sqref="AK3:AK22">
    <cfRule type="cellIs" dxfId="3200" priority="95" stopIfTrue="1" operator="equal">
      <formula>"must average at least 5 innings per start"</formula>
    </cfRule>
  </conditionalFormatting>
  <conditionalFormatting sqref="AK23">
    <cfRule type="cellIs" dxfId="3199" priority="94" stopIfTrue="1" operator="equal">
      <formula>"must have 162 starts"</formula>
    </cfRule>
  </conditionalFormatting>
  <conditionalFormatting sqref="AK3:AK22">
    <cfRule type="cellIs" dxfId="3198" priority="93" stopIfTrue="1" operator="equal">
      <formula>"must average at least 5 innings per start"</formula>
    </cfRule>
  </conditionalFormatting>
  <conditionalFormatting sqref="AK23">
    <cfRule type="cellIs" dxfId="3197" priority="92" stopIfTrue="1" operator="equal">
      <formula>"must have 162 starts"</formula>
    </cfRule>
  </conditionalFormatting>
  <conditionalFormatting sqref="AK3:AK22">
    <cfRule type="cellIs" dxfId="3196" priority="91" stopIfTrue="1" operator="equal">
      <formula>"must average at least 5 innings per start"</formula>
    </cfRule>
  </conditionalFormatting>
  <conditionalFormatting sqref="AK23">
    <cfRule type="cellIs" dxfId="3195" priority="90" stopIfTrue="1" operator="equal">
      <formula>"must have 162 starts"</formula>
    </cfRule>
  </conditionalFormatting>
  <conditionalFormatting sqref="AK3:AK22">
    <cfRule type="cellIs" dxfId="3194" priority="89" stopIfTrue="1" operator="equal">
      <formula>"must average at least 5 innings per start"</formula>
    </cfRule>
  </conditionalFormatting>
  <conditionalFormatting sqref="AK23">
    <cfRule type="cellIs" dxfId="3193" priority="88" stopIfTrue="1" operator="equal">
      <formula>"must have 162 starts"</formula>
    </cfRule>
  </conditionalFormatting>
  <conditionalFormatting sqref="AH3:AH22">
    <cfRule type="cellIs" dxfId="3192" priority="87" stopIfTrue="1" operator="equal">
      <formula>"must average at least 5 innings per start"</formula>
    </cfRule>
  </conditionalFormatting>
  <conditionalFormatting sqref="AH23">
    <cfRule type="cellIs" dxfId="3191" priority="86" stopIfTrue="1" operator="equal">
      <formula>"must have 162 starts"</formula>
    </cfRule>
  </conditionalFormatting>
  <conditionalFormatting sqref="AG3:AG22">
    <cfRule type="cellIs" dxfId="3190" priority="85" stopIfTrue="1" operator="equal">
      <formula>"must average at least 5 innings per start"</formula>
    </cfRule>
  </conditionalFormatting>
  <conditionalFormatting sqref="AG23">
    <cfRule type="cellIs" dxfId="3189" priority="84" stopIfTrue="1" operator="equal">
      <formula>"must have 162 starts"</formula>
    </cfRule>
  </conditionalFormatting>
  <conditionalFormatting sqref="AK3:AK22">
    <cfRule type="cellIs" dxfId="3188" priority="83" stopIfTrue="1" operator="equal">
      <formula>"must average at least 5 innings per start"</formula>
    </cfRule>
  </conditionalFormatting>
  <conditionalFormatting sqref="AK23">
    <cfRule type="cellIs" dxfId="3187" priority="82" stopIfTrue="1" operator="equal">
      <formula>"must have 162 starts"</formula>
    </cfRule>
  </conditionalFormatting>
  <conditionalFormatting sqref="AK3:AK22">
    <cfRule type="cellIs" dxfId="3186" priority="81" stopIfTrue="1" operator="equal">
      <formula>"must average at least 5 innings per start"</formula>
    </cfRule>
  </conditionalFormatting>
  <conditionalFormatting sqref="AK23">
    <cfRule type="cellIs" dxfId="3185" priority="80" stopIfTrue="1" operator="equal">
      <formula>"must have 162 starts"</formula>
    </cfRule>
  </conditionalFormatting>
  <conditionalFormatting sqref="AK3:AK22">
    <cfRule type="cellIs" dxfId="3184" priority="79" stopIfTrue="1" operator="equal">
      <formula>"must average at least 5 innings per start"</formula>
    </cfRule>
  </conditionalFormatting>
  <conditionalFormatting sqref="AK23">
    <cfRule type="cellIs" dxfId="3183" priority="78" stopIfTrue="1" operator="equal">
      <formula>"must have 162 starts"</formula>
    </cfRule>
  </conditionalFormatting>
  <conditionalFormatting sqref="AK3:AK22">
    <cfRule type="cellIs" dxfId="3182" priority="77" stopIfTrue="1" operator="equal">
      <formula>"must average at least 5 innings per start"</formula>
    </cfRule>
  </conditionalFormatting>
  <conditionalFormatting sqref="AK23">
    <cfRule type="cellIs" dxfId="3181" priority="76" stopIfTrue="1" operator="equal">
      <formula>"must have 162 starts"</formula>
    </cfRule>
  </conditionalFormatting>
  <conditionalFormatting sqref="AK3:AK22">
    <cfRule type="cellIs" dxfId="3180" priority="75" stopIfTrue="1" operator="equal">
      <formula>"must average at least 5 innings per start"</formula>
    </cfRule>
  </conditionalFormatting>
  <conditionalFormatting sqref="AK23">
    <cfRule type="cellIs" dxfId="3179" priority="74" stopIfTrue="1" operator="equal">
      <formula>"must have 162 starts"</formula>
    </cfRule>
  </conditionalFormatting>
  <conditionalFormatting sqref="AK3:AK22">
    <cfRule type="cellIs" dxfId="3178" priority="73" stopIfTrue="1" operator="equal">
      <formula>"must average at least 5 innings per start"</formula>
    </cfRule>
  </conditionalFormatting>
  <conditionalFormatting sqref="AK23">
    <cfRule type="cellIs" dxfId="3177" priority="72" stopIfTrue="1" operator="equal">
      <formula>"must have 162 starts"</formula>
    </cfRule>
  </conditionalFormatting>
  <conditionalFormatting sqref="AK3:AK22">
    <cfRule type="cellIs" dxfId="3176" priority="71" stopIfTrue="1" operator="equal">
      <formula>"must average at least 5 innings per start"</formula>
    </cfRule>
  </conditionalFormatting>
  <conditionalFormatting sqref="AK23">
    <cfRule type="cellIs" dxfId="3175" priority="70" stopIfTrue="1" operator="equal">
      <formula>"must have 162 starts"</formula>
    </cfRule>
  </conditionalFormatting>
  <conditionalFormatting sqref="AK3:AK22">
    <cfRule type="cellIs" dxfId="3174" priority="69" stopIfTrue="1" operator="equal">
      <formula>"must average at least 5 innings per start"</formula>
    </cfRule>
  </conditionalFormatting>
  <conditionalFormatting sqref="AK23">
    <cfRule type="cellIs" dxfId="3173" priority="68" stopIfTrue="1" operator="equal">
      <formula>"must have 162 starts"</formula>
    </cfRule>
  </conditionalFormatting>
  <conditionalFormatting sqref="AG3:AG22">
    <cfRule type="cellIs" dxfId="3172" priority="67" stopIfTrue="1" operator="equal">
      <formula>"must average at least 5 innings per start"</formula>
    </cfRule>
  </conditionalFormatting>
  <conditionalFormatting sqref="AG23">
    <cfRule type="cellIs" dxfId="3171" priority="66" stopIfTrue="1" operator="equal">
      <formula>"must have 162 starts"</formula>
    </cfRule>
  </conditionalFormatting>
  <conditionalFormatting sqref="AK3:AK22">
    <cfRule type="cellIs" dxfId="3170" priority="65" stopIfTrue="1" operator="equal">
      <formula>"must average at least 5 innings per start"</formula>
    </cfRule>
  </conditionalFormatting>
  <conditionalFormatting sqref="AK23">
    <cfRule type="cellIs" dxfId="3169" priority="64" stopIfTrue="1" operator="equal">
      <formula>"must have 162 starts"</formula>
    </cfRule>
  </conditionalFormatting>
  <conditionalFormatting sqref="AK3:AK22">
    <cfRule type="cellIs" dxfId="3168" priority="63" stopIfTrue="1" operator="equal">
      <formula>"must average at least 5 innings per start"</formula>
    </cfRule>
  </conditionalFormatting>
  <conditionalFormatting sqref="AK23">
    <cfRule type="cellIs" dxfId="3167" priority="62" stopIfTrue="1" operator="equal">
      <formula>"must have 162 starts"</formula>
    </cfRule>
  </conditionalFormatting>
  <conditionalFormatting sqref="AK3:AK22">
    <cfRule type="cellIs" dxfId="3166" priority="61" stopIfTrue="1" operator="equal">
      <formula>"must average at least 5 innings per start"</formula>
    </cfRule>
  </conditionalFormatting>
  <conditionalFormatting sqref="AK23">
    <cfRule type="cellIs" dxfId="3165" priority="60" stopIfTrue="1" operator="equal">
      <formula>"must have 162 starts"</formula>
    </cfRule>
  </conditionalFormatting>
  <conditionalFormatting sqref="AK3:AK22">
    <cfRule type="cellIs" dxfId="3164" priority="59" stopIfTrue="1" operator="equal">
      <formula>"must average at least 5 innings per start"</formula>
    </cfRule>
  </conditionalFormatting>
  <conditionalFormatting sqref="AK23">
    <cfRule type="cellIs" dxfId="3163" priority="58" stopIfTrue="1" operator="equal">
      <formula>"must have 162 starts"</formula>
    </cfRule>
  </conditionalFormatting>
  <conditionalFormatting sqref="AK3:AK22">
    <cfRule type="cellIs" dxfId="3162" priority="57" stopIfTrue="1" operator="equal">
      <formula>"must average at least 5 innings per start"</formula>
    </cfRule>
  </conditionalFormatting>
  <conditionalFormatting sqref="AK23">
    <cfRule type="cellIs" dxfId="3161" priority="56" stopIfTrue="1" operator="equal">
      <formula>"must have 162 starts"</formula>
    </cfRule>
  </conditionalFormatting>
  <conditionalFormatting sqref="AK3:AK22">
    <cfRule type="cellIs" dxfId="3160" priority="55" stopIfTrue="1" operator="equal">
      <formula>"must average at least 5 innings per start"</formula>
    </cfRule>
  </conditionalFormatting>
  <conditionalFormatting sqref="AK23">
    <cfRule type="cellIs" dxfId="3159" priority="54" stopIfTrue="1" operator="equal">
      <formula>"must have 162 starts"</formula>
    </cfRule>
  </conditionalFormatting>
  <conditionalFormatting sqref="AK3:AK22">
    <cfRule type="cellIs" dxfId="3158" priority="53" stopIfTrue="1" operator="equal">
      <formula>"must average at least 5 innings per start"</formula>
    </cfRule>
  </conditionalFormatting>
  <conditionalFormatting sqref="AK23">
    <cfRule type="cellIs" dxfId="3157" priority="52" stopIfTrue="1" operator="equal">
      <formula>"must have 162 starts"</formula>
    </cfRule>
  </conditionalFormatting>
  <conditionalFormatting sqref="AG3:AG22">
    <cfRule type="cellIs" dxfId="3156" priority="51" stopIfTrue="1" operator="equal">
      <formula>"must average at least 5 innings per start"</formula>
    </cfRule>
  </conditionalFormatting>
  <conditionalFormatting sqref="AG23">
    <cfRule type="cellIs" dxfId="3155" priority="50" stopIfTrue="1" operator="equal">
      <formula>"must have 162 starts"</formula>
    </cfRule>
  </conditionalFormatting>
  <conditionalFormatting sqref="AK3:AK22">
    <cfRule type="cellIs" dxfId="3154" priority="49" stopIfTrue="1" operator="equal">
      <formula>"must average at least 5 innings per start"</formula>
    </cfRule>
  </conditionalFormatting>
  <conditionalFormatting sqref="AK23">
    <cfRule type="cellIs" dxfId="3153" priority="48" stopIfTrue="1" operator="equal">
      <formula>"must have 162 starts"</formula>
    </cfRule>
  </conditionalFormatting>
  <conditionalFormatting sqref="AK3:AK22">
    <cfRule type="cellIs" dxfId="3152" priority="47" stopIfTrue="1" operator="equal">
      <formula>"must average at least 5 innings per start"</formula>
    </cfRule>
  </conditionalFormatting>
  <conditionalFormatting sqref="AK23">
    <cfRule type="cellIs" dxfId="3151" priority="46" stopIfTrue="1" operator="equal">
      <formula>"must have 162 starts"</formula>
    </cfRule>
  </conditionalFormatting>
  <conditionalFormatting sqref="AK3:AK22">
    <cfRule type="cellIs" dxfId="3150" priority="45" stopIfTrue="1" operator="equal">
      <formula>"must average at least 5 innings per start"</formula>
    </cfRule>
  </conditionalFormatting>
  <conditionalFormatting sqref="AK23">
    <cfRule type="cellIs" dxfId="3149" priority="44" stopIfTrue="1" operator="equal">
      <formula>"must have 162 starts"</formula>
    </cfRule>
  </conditionalFormatting>
  <conditionalFormatting sqref="AK3:AK22">
    <cfRule type="cellIs" dxfId="3148" priority="43" stopIfTrue="1" operator="equal">
      <formula>"must average at least 5 innings per start"</formula>
    </cfRule>
  </conditionalFormatting>
  <conditionalFormatting sqref="AK23">
    <cfRule type="cellIs" dxfId="3147" priority="42" stopIfTrue="1" operator="equal">
      <formula>"must have 162 starts"</formula>
    </cfRule>
  </conditionalFormatting>
  <conditionalFormatting sqref="AK3:AK22">
    <cfRule type="cellIs" dxfId="3146" priority="41" stopIfTrue="1" operator="equal">
      <formula>"must average at least 5 innings per start"</formula>
    </cfRule>
  </conditionalFormatting>
  <conditionalFormatting sqref="AK23">
    <cfRule type="cellIs" dxfId="3145" priority="40" stopIfTrue="1" operator="equal">
      <formula>"must have 162 starts"</formula>
    </cfRule>
  </conditionalFormatting>
  <conditionalFormatting sqref="AK3:AK22">
    <cfRule type="cellIs" dxfId="3144" priority="39" stopIfTrue="1" operator="equal">
      <formula>"must average at least 5 innings per start"</formula>
    </cfRule>
  </conditionalFormatting>
  <conditionalFormatting sqref="AK23">
    <cfRule type="cellIs" dxfId="3143" priority="38" stopIfTrue="1" operator="equal">
      <formula>"must have 162 starts"</formula>
    </cfRule>
  </conditionalFormatting>
  <conditionalFormatting sqref="AG3:AG22">
    <cfRule type="cellIs" dxfId="3142" priority="37" stopIfTrue="1" operator="equal">
      <formula>"must average at least 5 innings per start"</formula>
    </cfRule>
  </conditionalFormatting>
  <conditionalFormatting sqref="AG23">
    <cfRule type="cellIs" dxfId="3141" priority="36" stopIfTrue="1" operator="equal">
      <formula>"must have 162 starts"</formula>
    </cfRule>
  </conditionalFormatting>
  <conditionalFormatting sqref="AK3:AK22">
    <cfRule type="cellIs" dxfId="3140" priority="35" stopIfTrue="1" operator="equal">
      <formula>"must average at least 5 innings per start"</formula>
    </cfRule>
  </conditionalFormatting>
  <conditionalFormatting sqref="AK23">
    <cfRule type="cellIs" dxfId="3139" priority="34" stopIfTrue="1" operator="equal">
      <formula>"must have 162 starts"</formula>
    </cfRule>
  </conditionalFormatting>
  <conditionalFormatting sqref="AK3:AK22">
    <cfRule type="cellIs" dxfId="3138" priority="33" stopIfTrue="1" operator="equal">
      <formula>"must average at least 5 innings per start"</formula>
    </cfRule>
  </conditionalFormatting>
  <conditionalFormatting sqref="AK23">
    <cfRule type="cellIs" dxfId="3137" priority="32" stopIfTrue="1" operator="equal">
      <formula>"must have 162 starts"</formula>
    </cfRule>
  </conditionalFormatting>
  <conditionalFormatting sqref="AK3:AK22">
    <cfRule type="cellIs" dxfId="3136" priority="31" stopIfTrue="1" operator="equal">
      <formula>"must average at least 5 innings per start"</formula>
    </cfRule>
  </conditionalFormatting>
  <conditionalFormatting sqref="AK23">
    <cfRule type="cellIs" dxfId="3135" priority="30" stopIfTrue="1" operator="equal">
      <formula>"must have 162 starts"</formula>
    </cfRule>
  </conditionalFormatting>
  <conditionalFormatting sqref="AK3:AK22">
    <cfRule type="cellIs" dxfId="3134" priority="29" stopIfTrue="1" operator="equal">
      <formula>"must average at least 5 innings per start"</formula>
    </cfRule>
  </conditionalFormatting>
  <conditionalFormatting sqref="AK23">
    <cfRule type="cellIs" dxfId="3133" priority="28" stopIfTrue="1" operator="equal">
      <formula>"must have 162 starts"</formula>
    </cfRule>
  </conditionalFormatting>
  <conditionalFormatting sqref="AK3:AK22">
    <cfRule type="cellIs" dxfId="3132" priority="27" stopIfTrue="1" operator="equal">
      <formula>"must average at least 5 innings per start"</formula>
    </cfRule>
  </conditionalFormatting>
  <conditionalFormatting sqref="AK23">
    <cfRule type="cellIs" dxfId="3131" priority="26" stopIfTrue="1" operator="equal">
      <formula>"must have 162 starts"</formula>
    </cfRule>
  </conditionalFormatting>
  <conditionalFormatting sqref="AG3:AG22">
    <cfRule type="cellIs" dxfId="3130" priority="25" stopIfTrue="1" operator="equal">
      <formula>"must average at least 5 innings per start"</formula>
    </cfRule>
  </conditionalFormatting>
  <conditionalFormatting sqref="AG23">
    <cfRule type="cellIs" dxfId="3129" priority="24" stopIfTrue="1" operator="equal">
      <formula>"must have 162 starts"</formula>
    </cfRule>
  </conditionalFormatting>
  <conditionalFormatting sqref="AK3:AK22">
    <cfRule type="cellIs" dxfId="3128" priority="23" stopIfTrue="1" operator="equal">
      <formula>"must average at least 5 innings per start"</formula>
    </cfRule>
  </conditionalFormatting>
  <conditionalFormatting sqref="AK23">
    <cfRule type="cellIs" dxfId="3127" priority="22" stopIfTrue="1" operator="equal">
      <formula>"must have 162 starts"</formula>
    </cfRule>
  </conditionalFormatting>
  <conditionalFormatting sqref="AK3:AK22">
    <cfRule type="cellIs" dxfId="3126" priority="21" stopIfTrue="1" operator="equal">
      <formula>"must average at least 5 innings per start"</formula>
    </cfRule>
  </conditionalFormatting>
  <conditionalFormatting sqref="AK23">
    <cfRule type="cellIs" dxfId="3125" priority="20" stopIfTrue="1" operator="equal">
      <formula>"must have 162 starts"</formula>
    </cfRule>
  </conditionalFormatting>
  <conditionalFormatting sqref="AK3:AK22">
    <cfRule type="cellIs" dxfId="3124" priority="19" stopIfTrue="1" operator="equal">
      <formula>"must average at least 5 innings per start"</formula>
    </cfRule>
  </conditionalFormatting>
  <conditionalFormatting sqref="AK23">
    <cfRule type="cellIs" dxfId="3123" priority="18" stopIfTrue="1" operator="equal">
      <formula>"must have 162 starts"</formula>
    </cfRule>
  </conditionalFormatting>
  <conditionalFormatting sqref="AK3:AK22">
    <cfRule type="cellIs" dxfId="3122" priority="17" stopIfTrue="1" operator="equal">
      <formula>"must average at least 5 innings per start"</formula>
    </cfRule>
  </conditionalFormatting>
  <conditionalFormatting sqref="AK23">
    <cfRule type="cellIs" dxfId="3121" priority="16" stopIfTrue="1" operator="equal">
      <formula>"must have 162 starts"</formula>
    </cfRule>
  </conditionalFormatting>
  <conditionalFormatting sqref="AG3:AG22">
    <cfRule type="cellIs" dxfId="3120" priority="15" stopIfTrue="1" operator="equal">
      <formula>"must average at least 5 innings per start"</formula>
    </cfRule>
  </conditionalFormatting>
  <conditionalFormatting sqref="AG23">
    <cfRule type="cellIs" dxfId="3119" priority="14" stopIfTrue="1" operator="equal">
      <formula>"must have 162 starts"</formula>
    </cfRule>
  </conditionalFormatting>
  <conditionalFormatting sqref="AK3:AK22">
    <cfRule type="cellIs" dxfId="3118" priority="13" stopIfTrue="1" operator="equal">
      <formula>"must average at least 5 innings per start"</formula>
    </cfRule>
  </conditionalFormatting>
  <conditionalFormatting sqref="AK23">
    <cfRule type="cellIs" dxfId="3117" priority="12" stopIfTrue="1" operator="equal">
      <formula>"must have 162 starts"</formula>
    </cfRule>
  </conditionalFormatting>
  <conditionalFormatting sqref="AK3:AK22">
    <cfRule type="cellIs" dxfId="3116" priority="11" stopIfTrue="1" operator="equal">
      <formula>"must average at least 5 innings per start"</formula>
    </cfRule>
  </conditionalFormatting>
  <conditionalFormatting sqref="AK23">
    <cfRule type="cellIs" dxfId="3115" priority="10" stopIfTrue="1" operator="equal">
      <formula>"must have 162 starts"</formula>
    </cfRule>
  </conditionalFormatting>
  <conditionalFormatting sqref="AK3:AK22">
    <cfRule type="cellIs" dxfId="3114" priority="9" stopIfTrue="1" operator="equal">
      <formula>"must average at least 5 innings per start"</formula>
    </cfRule>
  </conditionalFormatting>
  <conditionalFormatting sqref="AK23">
    <cfRule type="cellIs" dxfId="3113" priority="8" stopIfTrue="1" operator="equal">
      <formula>"must have 162 starts"</formula>
    </cfRule>
  </conditionalFormatting>
  <conditionalFormatting sqref="AG3:AG22">
    <cfRule type="cellIs" dxfId="3112" priority="7" stopIfTrue="1" operator="equal">
      <formula>"must average at least 5 innings per start"</formula>
    </cfRule>
  </conditionalFormatting>
  <conditionalFormatting sqref="AG23">
    <cfRule type="cellIs" dxfId="3111" priority="6" stopIfTrue="1" operator="equal">
      <formula>"must have 162 starts"</formula>
    </cfRule>
  </conditionalFormatting>
  <conditionalFormatting sqref="AK3:AK22">
    <cfRule type="cellIs" dxfId="3110" priority="5" stopIfTrue="1" operator="equal">
      <formula>"must average at least 5 innings per start"</formula>
    </cfRule>
  </conditionalFormatting>
  <conditionalFormatting sqref="AK23">
    <cfRule type="cellIs" dxfId="3109" priority="4" stopIfTrue="1" operator="equal">
      <formula>"must have 162 starts"</formula>
    </cfRule>
  </conditionalFormatting>
  <conditionalFormatting sqref="AG3:AG22">
    <cfRule type="cellIs" dxfId="3108" priority="3" stopIfTrue="1" operator="equal">
      <formula>"must average at least 5 innings per start"</formula>
    </cfRule>
  </conditionalFormatting>
  <conditionalFormatting sqref="AG23">
    <cfRule type="cellIs" dxfId="3107" priority="2" stopIfTrue="1" operator="equal">
      <formula>"must have 162 starts"</formula>
    </cfRule>
  </conditionalFormatting>
  <conditionalFormatting sqref="Q2">
    <cfRule type="cellIs" dxfId="3106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30417" divId="ROTcheck_30417" sourceType="sheet" destinationFile="C:\1kading\schedule\skedwlg.html"/>
    <webPublishItem id="1200" divId="ROTcheck_1200" sourceType="range" sourceRef="A1:O193" destinationFile="C:\1kading\schedule\skedwlg.html"/>
    <webPublishItem id="27190" divId="ROTcheck_27190" sourceType="range" sourceRef="A156:O185" destinationFile="C:\1kading\schedule\skedwlg.html"/>
  </webPublishItems>
</worksheet>
</file>

<file path=xl/worksheets/sheet2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5.5703125" style="28" customWidth="1"/>
    <col min="5" max="6" width="3.7109375" style="2" customWidth="1"/>
    <col min="7" max="9" width="3.7109375" style="3" customWidth="1"/>
    <col min="10" max="10" width="21.8554687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5703125" style="5" customWidth="1"/>
    <col min="18" max="18" width="5.140625" style="10" customWidth="1"/>
    <col min="19" max="19" width="19" style="2" customWidth="1"/>
    <col min="20" max="20" width="10.5703125" style="2" customWidth="1"/>
    <col min="21" max="21" width="3.7109375" style="2" customWidth="1"/>
    <col min="22" max="22" width="4" style="2" customWidth="1"/>
    <col min="23" max="23" width="6.5703125" style="2" customWidth="1"/>
    <col min="24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7.710937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34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2" t="s">
        <v>32</v>
      </c>
      <c r="C3" s="33" t="s">
        <v>35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329</v>
      </c>
      <c r="T3" s="44" t="str">
        <f>IF(ISERROR((VLOOKUP(S3,Pitchers!$B$1:H$800,4,FALSE))),"",(VLOOKUP(S3,Pitchers!$B$1:H$800,4,FALSE)))</f>
        <v>MIN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10</v>
      </c>
      <c r="X3" s="47">
        <f>IF(ISERROR((VLOOKUP(S3,Pitchers!B$2:AA$795,11,FALSE))),"",(VLOOKUP(S3,Pitchers!B$2:AA$795,11,FALSE)))</f>
        <v>195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 xml:space="preserve"> 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BAN</v>
      </c>
    </row>
    <row r="4" spans="1:36" ht="12.75">
      <c r="A4" s="6">
        <v>4.0199999999999996</v>
      </c>
      <c r="B4" s="32" t="s">
        <v>32</v>
      </c>
      <c r="C4" s="33" t="s">
        <v>35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859</v>
      </c>
      <c r="T4" s="44" t="str">
        <f>IF(ISERROR((VLOOKUP(S4,Pitchers!$B$1:H$800,4,FALSE))),"",(VLOOKUP(S4,Pitchers!$B$1:H$800,4,FALSE)))</f>
        <v>ARI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7</v>
      </c>
      <c r="X4" s="47">
        <f>IF(ISERROR((VLOOKUP(S4,Pitchers!B$2:AA$795,11,FALSE))),"",(VLOOKUP(S4,Pitchers!B$2:AA$795,11,FALSE)))</f>
        <v>189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 xml:space="preserve"> 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>L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BAN</v>
      </c>
    </row>
    <row r="5" spans="1:36" ht="12.75">
      <c r="A5" s="6">
        <v>4.03</v>
      </c>
      <c r="B5" s="32" t="s">
        <v>32</v>
      </c>
      <c r="C5" s="33" t="s">
        <v>35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143</v>
      </c>
      <c r="T5" s="44" t="str">
        <f>IF(ISERROR((VLOOKUP(S5,Pitchers!$B$1:H$800,4,FALSE))),"",(VLOOKUP(S5,Pitchers!$B$1:H$800,4,FALSE)))</f>
        <v>CLE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7</v>
      </c>
      <c r="X5" s="47">
        <f>IF(ISERROR((VLOOKUP(S5,Pitchers!B$2:AA$795,11,FALSE))),"",(VLOOKUP(S5,Pitchers!B$2:AA$795,11,FALSE)))</f>
        <v>175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X</v>
      </c>
      <c r="AC5" s="52" t="str">
        <f>IF(ISERROR((VLOOKUP(S5,Pitchers!B$2:AA$795,17,FALSE))),"",(VLOOKUP(S5,Pitchers!B$2:AA$795,17,FALSE)))</f>
        <v>W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BAN</v>
      </c>
    </row>
    <row r="6" spans="1:36" ht="12.75">
      <c r="A6" s="6">
        <v>4.04</v>
      </c>
      <c r="B6" s="32" t="s">
        <v>32</v>
      </c>
      <c r="C6" s="33" t="s">
        <v>35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495</v>
      </c>
      <c r="T6" s="44" t="str">
        <f>IF(ISERROR((VLOOKUP(S6,Pitchers!$B$1:H$800,4,FALSE))),"",(VLOOKUP(S6,Pitchers!$B$1:H$800,4,FALSE)))</f>
        <v>BOS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6</v>
      </c>
      <c r="X6" s="47">
        <f>IF(ISERROR((VLOOKUP(S6,Pitchers!B$2:AA$795,11,FALSE))),"",(VLOOKUP(S6,Pitchers!B$2:AA$795,11,FALSE)))</f>
        <v>194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 xml:space="preserve"> 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BAN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697</v>
      </c>
      <c r="T7" s="44" t="str">
        <f>IF(ISERROR((VLOOKUP(S7,Pitchers!$B$1:H$800,4,FALSE))),"",(VLOOKUP(S7,Pitchers!$B$1:H$800,4,FALSE)))</f>
        <v>CHC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6</v>
      </c>
      <c r="X7" s="47">
        <f>IF(ISERROR((VLOOKUP(S7,Pitchers!B$2:AA$795,11,FALSE))),"",(VLOOKUP(S7,Pitchers!B$2:AA$795,11,FALSE)))</f>
        <v>43</v>
      </c>
      <c r="Y7" s="48"/>
      <c r="Z7" s="49"/>
      <c r="AA7" s="50"/>
      <c r="AB7" s="51" t="str">
        <f>IF(ISERROR((VLOOKUP(S7,Pitchers!B$2:AA$795,16,FALSE))),"",(VLOOKUP(S7,Pitchers!B$2:AA$795,16,FALSE)))</f>
        <v>XY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2" t="s">
        <v>32</v>
      </c>
      <c r="C8" s="33" t="s">
        <v>12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830</v>
      </c>
      <c r="T8" s="44" t="str">
        <f>IF(ISERROR((VLOOKUP(S8,Pitchers!$B$1:H$800,4,FALSE))),"",(VLOOKUP(S8,Pitchers!$B$1:H$800,4,FALSE)))</f>
        <v>OAK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5</v>
      </c>
      <c r="X8" s="47">
        <f>IF(ISERROR((VLOOKUP(S8,Pitchers!B$2:AA$795,11,FALSE))),"",(VLOOKUP(S8,Pitchers!B$2:AA$795,11,FALSE)))</f>
        <v>151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>Y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BAN</v>
      </c>
    </row>
    <row r="9" spans="1:36" ht="12.75">
      <c r="A9" s="6">
        <v>4.07</v>
      </c>
      <c r="B9" s="32" t="s">
        <v>32</v>
      </c>
      <c r="C9" s="33" t="s">
        <v>12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301</v>
      </c>
      <c r="T9" s="44" t="str">
        <f>IF(ISERROR((VLOOKUP(S9,Pitchers!$B$1:H$800,4,FALSE))),"",(VLOOKUP(S9,Pitchers!$B$1:H$800,4,FALSE)))</f>
        <v>WSN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86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>Z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BAN</v>
      </c>
    </row>
    <row r="10" spans="1:36" ht="12.75">
      <c r="A10" s="6">
        <v>4.08</v>
      </c>
      <c r="B10" s="32" t="s">
        <v>32</v>
      </c>
      <c r="C10" s="33" t="s">
        <v>12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82" t="s">
        <v>135</v>
      </c>
      <c r="T10" s="44" t="str">
        <f>IF(ISERROR((VLOOKUP(S10,Pitchers!$B$1:H$800,4,FALSE))),"",(VLOOKUP(S10,Pitchers!$B$1:H$800,4,FALSE)))</f>
        <v>CIN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3</v>
      </c>
      <c r="X10" s="47">
        <f>IF(ISERROR((VLOOKUP(S10,Pitchers!B$2:AA$795,11,FALSE))),"",(VLOOKUP(S10,Pitchers!B$2:AA$795,11,FALSE)))</f>
        <v>12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>Z</v>
      </c>
      <c r="AD10" s="53" t="str">
        <f>IF(ISERROR((VLOOKUP(S10,Pitchers!B$2:AA$795,18,FALSE))),"",(VLOOKUP(S10,Pitchers!B$2:AA$795,18,FALSE)))</f>
        <v>M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BAN</v>
      </c>
    </row>
    <row r="11" spans="1:36" ht="12.75">
      <c r="A11" s="6">
        <v>4.09</v>
      </c>
      <c r="B11" s="32" t="s">
        <v>32</v>
      </c>
      <c r="C11" s="33" t="s">
        <v>12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43"/>
      <c r="T11" s="44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BAN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20"/>
      <c r="T12" s="44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1917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4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BAN</v>
      </c>
    </row>
    <row r="14" spans="1:36" ht="12.75">
      <c r="A14" s="6">
        <v>4.12</v>
      </c>
      <c r="B14" s="32" t="s">
        <v>32</v>
      </c>
      <c r="C14" s="33" t="s">
        <v>1917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4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BAN</v>
      </c>
    </row>
    <row r="15" spans="1:36" ht="12.75">
      <c r="A15" s="6">
        <v>4.13</v>
      </c>
      <c r="B15" s="32" t="s">
        <v>32</v>
      </c>
      <c r="C15" s="33" t="s">
        <v>1917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4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BAN</v>
      </c>
    </row>
    <row r="16" spans="1:36" ht="12.75">
      <c r="A16" s="6">
        <v>4.1399999999999997</v>
      </c>
      <c r="B16" s="32" t="s">
        <v>32</v>
      </c>
      <c r="C16" s="33" t="s">
        <v>1917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4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BAN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4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55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4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BAN</v>
      </c>
    </row>
    <row r="19" spans="1:36" ht="12.75">
      <c r="A19" s="6">
        <v>4.17</v>
      </c>
      <c r="B19" s="33"/>
      <c r="C19" s="33" t="s">
        <v>55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4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BAN</v>
      </c>
    </row>
    <row r="20" spans="1:36" ht="12.75">
      <c r="A20" s="6">
        <v>4.18</v>
      </c>
      <c r="B20" s="33"/>
      <c r="C20" s="33" t="s">
        <v>55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4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BAN</v>
      </c>
    </row>
    <row r="21" spans="1:36" ht="12.75">
      <c r="A21" s="6">
        <v>4.1900000000000004</v>
      </c>
      <c r="B21" s="33"/>
      <c r="C21" s="33" t="s">
        <v>55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4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BAN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2" t="s">
        <v>32</v>
      </c>
      <c r="C23" s="33" t="s">
        <v>47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BAN</v>
      </c>
    </row>
    <row r="24" spans="1:36" ht="12.75">
      <c r="A24" s="6">
        <v>4.22</v>
      </c>
      <c r="B24" s="32" t="s">
        <v>32</v>
      </c>
      <c r="C24" s="33" t="s">
        <v>47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BAN</v>
      </c>
    </row>
    <row r="25" spans="1:36" ht="12.75">
      <c r="A25" s="6">
        <v>4.2300000000000004</v>
      </c>
      <c r="B25" s="32" t="s">
        <v>32</v>
      </c>
      <c r="C25" s="33" t="s">
        <v>47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BAN</v>
      </c>
    </row>
    <row r="26" spans="1:36" ht="12.75">
      <c r="A26" s="6">
        <v>4.24</v>
      </c>
      <c r="B26" s="32" t="s">
        <v>32</v>
      </c>
      <c r="C26" s="33" t="s">
        <v>47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BAN</v>
      </c>
    </row>
    <row r="27" spans="1:36" ht="12.75">
      <c r="A27" s="6">
        <v>4.25</v>
      </c>
      <c r="B27" s="32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/>
      <c r="C28" s="33" t="s">
        <v>1919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BAN</v>
      </c>
    </row>
    <row r="29" spans="1:36" ht="12.75">
      <c r="A29" s="6">
        <v>4.2699999999999996</v>
      </c>
      <c r="B29" s="33"/>
      <c r="C29" s="33" t="s">
        <v>1919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BAN</v>
      </c>
    </row>
    <row r="30" spans="1:36" ht="12.75">
      <c r="A30" s="6">
        <v>4.28</v>
      </c>
      <c r="B30" s="33"/>
      <c r="C30" s="33" t="s">
        <v>1919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BAN</v>
      </c>
    </row>
    <row r="31" spans="1:36" ht="12.75">
      <c r="A31" s="6">
        <v>4.29</v>
      </c>
      <c r="B31" s="33"/>
      <c r="C31" s="33" t="s">
        <v>1919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BAN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2" t="s">
        <v>32</v>
      </c>
      <c r="C33" s="33" t="s">
        <v>16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BAN</v>
      </c>
    </row>
    <row r="34" spans="1:36" ht="12.75">
      <c r="A34" s="6">
        <v>5.0199999999999996</v>
      </c>
      <c r="B34" s="32" t="s">
        <v>32</v>
      </c>
      <c r="C34" s="33" t="s">
        <v>16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BAN</v>
      </c>
    </row>
    <row r="35" spans="1:36" ht="12.75">
      <c r="A35" s="6">
        <v>5.03</v>
      </c>
      <c r="B35" s="32" t="s">
        <v>32</v>
      </c>
      <c r="C35" s="33" t="s">
        <v>16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BAN</v>
      </c>
    </row>
    <row r="36" spans="1:36" ht="12.75">
      <c r="A36" s="6">
        <v>5.04</v>
      </c>
      <c r="B36" s="32" t="s">
        <v>32</v>
      </c>
      <c r="C36" s="33" t="s">
        <v>16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BAN</v>
      </c>
    </row>
    <row r="37" spans="1:36" ht="12.75">
      <c r="A37" s="6">
        <v>5.05</v>
      </c>
      <c r="B37" s="33"/>
      <c r="C37" s="33" t="s">
        <v>17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BAN</v>
      </c>
    </row>
    <row r="38" spans="1:36" ht="12.75">
      <c r="A38" s="6">
        <v>5.0599999999999996</v>
      </c>
      <c r="B38" s="33"/>
      <c r="C38" s="33" t="s">
        <v>17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BAN</v>
      </c>
    </row>
    <row r="39" spans="1:36" ht="12.75">
      <c r="A39" s="6">
        <v>5.07</v>
      </c>
      <c r="B39" s="33"/>
      <c r="C39" s="33" t="s">
        <v>17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BAN</v>
      </c>
    </row>
    <row r="40" spans="1:36" ht="12.75">
      <c r="A40" s="6">
        <v>5.08</v>
      </c>
      <c r="B40" s="33"/>
      <c r="C40" s="33" t="s">
        <v>17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BAN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2" t="s">
        <v>32</v>
      </c>
      <c r="C42" s="33" t="s">
        <v>48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BAN</v>
      </c>
    </row>
    <row r="43" spans="1:36" ht="12.75">
      <c r="A43" s="6">
        <v>5.1100000000000003</v>
      </c>
      <c r="B43" s="32" t="s">
        <v>32</v>
      </c>
      <c r="C43" s="33" t="s">
        <v>48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BAN</v>
      </c>
    </row>
    <row r="44" spans="1:36" ht="12.75">
      <c r="A44" s="6">
        <v>5.12</v>
      </c>
      <c r="B44" s="32" t="s">
        <v>32</v>
      </c>
      <c r="C44" s="33" t="s">
        <v>48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BAN</v>
      </c>
    </row>
    <row r="45" spans="1:36" ht="12.75">
      <c r="A45" s="6">
        <v>5.13</v>
      </c>
      <c r="B45" s="32" t="s">
        <v>32</v>
      </c>
      <c r="C45" s="33" t="s">
        <v>48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BAN</v>
      </c>
    </row>
    <row r="46" spans="1:36" ht="12.75">
      <c r="A46" s="6">
        <v>5.14</v>
      </c>
      <c r="B46" s="33" t="s">
        <v>32</v>
      </c>
      <c r="C46" s="33" t="s">
        <v>53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BAN</v>
      </c>
    </row>
    <row r="47" spans="1:36" ht="12.75">
      <c r="A47" s="6">
        <v>5.15</v>
      </c>
      <c r="B47" s="33" t="s">
        <v>32</v>
      </c>
      <c r="C47" s="33" t="s">
        <v>53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BAN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53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BAN</v>
      </c>
    </row>
    <row r="50" spans="1:36" ht="12.75">
      <c r="A50" s="6">
        <v>5.18</v>
      </c>
      <c r="B50" s="33" t="s">
        <v>32</v>
      </c>
      <c r="C50" s="33" t="s">
        <v>53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BAN</v>
      </c>
    </row>
    <row r="51" spans="1:36" ht="12.75">
      <c r="A51" s="6">
        <v>5.19</v>
      </c>
      <c r="B51" s="32"/>
      <c r="C51" s="33" t="s">
        <v>54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BAN</v>
      </c>
    </row>
    <row r="52" spans="1:36" ht="12.75">
      <c r="A52" s="6">
        <v>5.2</v>
      </c>
      <c r="B52" s="32"/>
      <c r="C52" s="33" t="s">
        <v>54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BAN</v>
      </c>
    </row>
    <row r="53" spans="1:36" ht="12.75">
      <c r="A53" s="6">
        <v>5.21</v>
      </c>
      <c r="B53" s="32"/>
      <c r="C53" s="33" t="s">
        <v>54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BAN</v>
      </c>
    </row>
    <row r="54" spans="1:36" ht="12.75">
      <c r="A54" s="6">
        <v>5.22</v>
      </c>
      <c r="B54" s="32"/>
      <c r="C54" s="33" t="s">
        <v>54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BAN</v>
      </c>
    </row>
    <row r="55" spans="1:36" ht="12.75">
      <c r="A55" s="6">
        <v>5.23</v>
      </c>
      <c r="B55" s="32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/>
      <c r="C56" s="33" t="s">
        <v>43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BAN</v>
      </c>
    </row>
    <row r="57" spans="1:36" ht="12.75">
      <c r="A57" s="6">
        <v>5.25</v>
      </c>
      <c r="B57" s="33"/>
      <c r="C57" s="33" t="s">
        <v>43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BAN</v>
      </c>
    </row>
    <row r="58" spans="1:36" ht="12.75">
      <c r="A58" s="6">
        <v>5.26</v>
      </c>
      <c r="B58" s="33"/>
      <c r="C58" s="33" t="s">
        <v>43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BAN</v>
      </c>
    </row>
    <row r="59" spans="1:36" ht="12.75">
      <c r="A59" s="6">
        <v>5.27</v>
      </c>
      <c r="B59" s="33"/>
      <c r="C59" s="33" t="s">
        <v>43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BAN</v>
      </c>
    </row>
    <row r="60" spans="1:36" ht="12.75">
      <c r="A60" s="6">
        <v>5.28</v>
      </c>
      <c r="B60" s="32" t="s">
        <v>32</v>
      </c>
      <c r="C60" s="33" t="s">
        <v>45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BAN</v>
      </c>
    </row>
    <row r="61" spans="1:36" ht="12.75">
      <c r="A61" s="6">
        <v>5.29</v>
      </c>
      <c r="B61" s="32" t="s">
        <v>32</v>
      </c>
      <c r="C61" s="33" t="s">
        <v>45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BAN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2" t="s">
        <v>32</v>
      </c>
      <c r="C63" s="33" t="s">
        <v>45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BAN</v>
      </c>
    </row>
    <row r="64" spans="1:36" ht="12.75">
      <c r="A64" s="6">
        <v>6.01</v>
      </c>
      <c r="B64" s="32" t="s">
        <v>32</v>
      </c>
      <c r="C64" s="33" t="s">
        <v>1918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BAN</v>
      </c>
    </row>
    <row r="65" spans="1:36" ht="12.75">
      <c r="A65" s="6">
        <v>6.02</v>
      </c>
      <c r="B65" s="32" t="s">
        <v>32</v>
      </c>
      <c r="C65" s="33" t="s">
        <v>1918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BAN</v>
      </c>
    </row>
    <row r="66" spans="1:36" ht="12.75">
      <c r="A66" s="6">
        <v>6.03</v>
      </c>
      <c r="B66" s="32" t="s">
        <v>32</v>
      </c>
      <c r="C66" s="33" t="s">
        <v>1918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BAN</v>
      </c>
    </row>
    <row r="67" spans="1:36" ht="12.75">
      <c r="A67" s="6">
        <v>6.04</v>
      </c>
      <c r="B67" s="32" t="s">
        <v>32</v>
      </c>
      <c r="C67" s="33" t="s">
        <v>1918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BAN</v>
      </c>
    </row>
    <row r="68" spans="1:36" ht="12.75">
      <c r="A68" s="6">
        <v>6.05</v>
      </c>
      <c r="B68" s="33"/>
      <c r="C68" s="33" t="s">
        <v>1191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BAN</v>
      </c>
    </row>
    <row r="69" spans="1:36" ht="12.75">
      <c r="A69" s="6">
        <v>6.06</v>
      </c>
      <c r="B69" s="33"/>
      <c r="C69" s="33" t="s">
        <v>1191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BAN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/>
      <c r="C71" s="33" t="s">
        <v>1191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BAN</v>
      </c>
    </row>
    <row r="72" spans="1:36" ht="12.75">
      <c r="A72" s="6">
        <v>6.09</v>
      </c>
      <c r="B72" s="33"/>
      <c r="C72" s="33" t="s">
        <v>1191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BAN</v>
      </c>
    </row>
    <row r="73" spans="1:36" ht="12.75">
      <c r="A73" s="6">
        <v>6.1</v>
      </c>
      <c r="B73" s="33"/>
      <c r="C73" s="33" t="s">
        <v>14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BAN</v>
      </c>
    </row>
    <row r="74" spans="1:36" ht="12.75">
      <c r="A74" s="6">
        <v>6.11</v>
      </c>
      <c r="B74" s="33"/>
      <c r="C74" s="33" t="s">
        <v>14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BAN</v>
      </c>
    </row>
    <row r="75" spans="1:36" ht="12.75">
      <c r="A75" s="6">
        <v>6.12</v>
      </c>
      <c r="B75" s="33"/>
      <c r="C75" s="33" t="s">
        <v>14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BAN</v>
      </c>
    </row>
    <row r="76" spans="1:36" ht="12.75">
      <c r="A76" s="6">
        <v>6.13</v>
      </c>
      <c r="B76" s="33"/>
      <c r="C76" s="33" t="s">
        <v>14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BAN</v>
      </c>
    </row>
    <row r="77" spans="1:36" ht="12.75">
      <c r="A77" s="6">
        <v>6.14</v>
      </c>
      <c r="B77" s="33"/>
      <c r="C77" s="33" t="s">
        <v>13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BAN</v>
      </c>
    </row>
    <row r="78" spans="1:36" ht="12.75">
      <c r="A78" s="6">
        <v>6.15</v>
      </c>
      <c r="B78" s="33"/>
      <c r="C78" s="33" t="s">
        <v>13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BAN</v>
      </c>
    </row>
    <row r="79" spans="1:36" ht="12.75">
      <c r="A79" s="6">
        <v>6.16</v>
      </c>
      <c r="B79" s="33"/>
      <c r="C79" s="33" t="s">
        <v>13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BAN</v>
      </c>
    </row>
    <row r="80" spans="1:36" ht="12.75">
      <c r="A80" s="6">
        <v>6.17</v>
      </c>
      <c r="B80" s="33"/>
      <c r="C80" s="33" t="s">
        <v>13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BAN</v>
      </c>
    </row>
    <row r="81" spans="1:36" ht="12.75">
      <c r="A81" s="6">
        <v>6.18</v>
      </c>
      <c r="B81" s="32" t="s">
        <v>32</v>
      </c>
      <c r="C81" s="33" t="s">
        <v>51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BAN</v>
      </c>
    </row>
    <row r="82" spans="1:36" ht="12.75">
      <c r="A82" s="6">
        <v>6.19</v>
      </c>
      <c r="B82" s="32" t="s">
        <v>32</v>
      </c>
      <c r="C82" s="33" t="s">
        <v>51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BAN</v>
      </c>
    </row>
    <row r="83" spans="1:36" ht="12.75">
      <c r="A83" s="6">
        <v>6.2</v>
      </c>
      <c r="B83" s="32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2" t="s">
        <v>32</v>
      </c>
      <c r="C84" s="33" t="s">
        <v>51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BAN</v>
      </c>
    </row>
    <row r="85" spans="1:36" ht="12.75">
      <c r="A85" s="6">
        <v>6.22</v>
      </c>
      <c r="B85" s="32" t="s">
        <v>32</v>
      </c>
      <c r="C85" s="33" t="s">
        <v>51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BAN</v>
      </c>
    </row>
    <row r="86" spans="1:36" ht="12.75">
      <c r="A86" s="6">
        <v>6.23</v>
      </c>
      <c r="B86" s="33"/>
      <c r="C86" s="33" t="s">
        <v>56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BAN</v>
      </c>
    </row>
    <row r="87" spans="1:36" ht="12.75">
      <c r="A87" s="6">
        <v>6.24</v>
      </c>
      <c r="B87" s="33"/>
      <c r="C87" s="33" t="s">
        <v>56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BAN</v>
      </c>
    </row>
    <row r="88" spans="1:36" ht="12.75">
      <c r="A88" s="6">
        <v>6.25</v>
      </c>
      <c r="B88" s="33"/>
      <c r="C88" s="33" t="s">
        <v>56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BAN</v>
      </c>
    </row>
    <row r="89" spans="1:36" ht="12.75">
      <c r="A89" s="6">
        <v>6.26</v>
      </c>
      <c r="B89" s="33"/>
      <c r="C89" s="33" t="s">
        <v>56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BAN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2.75">
      <c r="A91" s="6">
        <v>6.28</v>
      </c>
      <c r="B91" s="32" t="s">
        <v>32</v>
      </c>
      <c r="C91" s="33" t="s">
        <v>41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BAN</v>
      </c>
    </row>
    <row r="92" spans="1:36" ht="12.75">
      <c r="A92" s="6">
        <v>6.29</v>
      </c>
      <c r="B92" s="32" t="s">
        <v>32</v>
      </c>
      <c r="C92" s="33" t="s">
        <v>41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BAN</v>
      </c>
    </row>
    <row r="93" spans="1:36" ht="12.75">
      <c r="A93" s="6">
        <v>6.3</v>
      </c>
      <c r="B93" s="32" t="s">
        <v>32</v>
      </c>
      <c r="C93" s="33" t="s">
        <v>41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BAN</v>
      </c>
    </row>
    <row r="94" spans="1:36" ht="12.75">
      <c r="A94" s="6">
        <v>7.01</v>
      </c>
      <c r="B94" s="32" t="s">
        <v>32</v>
      </c>
      <c r="C94" s="33" t="s">
        <v>42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BAN</v>
      </c>
    </row>
    <row r="95" spans="1:36" ht="12.75">
      <c r="A95" s="6">
        <v>7.02</v>
      </c>
      <c r="B95" s="32" t="s">
        <v>32</v>
      </c>
      <c r="C95" s="33" t="s">
        <v>42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BAN</v>
      </c>
    </row>
    <row r="96" spans="1:36" ht="12.75">
      <c r="A96" s="6">
        <v>7.03</v>
      </c>
      <c r="B96" s="32" t="s">
        <v>32</v>
      </c>
      <c r="C96" s="33" t="s">
        <v>42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BAN</v>
      </c>
    </row>
    <row r="97" spans="1:36" ht="12.75">
      <c r="A97" s="6">
        <v>7.04</v>
      </c>
      <c r="B97" s="33"/>
      <c r="C97" s="33" t="s">
        <v>40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BAN</v>
      </c>
    </row>
    <row r="98" spans="1:36" ht="12.75">
      <c r="A98" s="6">
        <v>7.05</v>
      </c>
      <c r="B98" s="33"/>
      <c r="C98" s="33" t="s">
        <v>40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BAN</v>
      </c>
    </row>
    <row r="99" spans="1:36" ht="12.75">
      <c r="A99" s="6">
        <v>7.06</v>
      </c>
      <c r="B99" s="33"/>
      <c r="C99" s="33" t="s">
        <v>40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BAN</v>
      </c>
    </row>
    <row r="100" spans="1:36" ht="12.75">
      <c r="A100" s="6">
        <v>7.07</v>
      </c>
      <c r="B100" s="32" t="s">
        <v>32</v>
      </c>
      <c r="C100" s="33" t="s">
        <v>44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BAN</v>
      </c>
    </row>
    <row r="101" spans="1:36" ht="12.75">
      <c r="A101" s="6">
        <v>7.08</v>
      </c>
      <c r="B101" s="32" t="s">
        <v>32</v>
      </c>
      <c r="C101" s="33" t="s">
        <v>44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BAN</v>
      </c>
    </row>
    <row r="102" spans="1:36" ht="12.75">
      <c r="A102" s="6">
        <v>7.09</v>
      </c>
      <c r="B102" s="32" t="s">
        <v>32</v>
      </c>
      <c r="C102" s="33" t="s">
        <v>44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BAN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52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BAN</v>
      </c>
    </row>
    <row r="107" spans="1:36" ht="12.75">
      <c r="A107" s="6">
        <v>7.14</v>
      </c>
      <c r="B107" s="33"/>
      <c r="C107" s="33" t="s">
        <v>52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BAN</v>
      </c>
    </row>
    <row r="108" spans="1:36" ht="12.75">
      <c r="A108" s="6">
        <v>7.15</v>
      </c>
      <c r="B108" s="33"/>
      <c r="C108" s="33" t="s">
        <v>52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BAN</v>
      </c>
    </row>
    <row r="109" spans="1:36" ht="12.75">
      <c r="A109" s="6">
        <v>7.16</v>
      </c>
      <c r="B109" s="32"/>
      <c r="C109" s="33" t="s">
        <v>15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BAN</v>
      </c>
    </row>
    <row r="110" spans="1:36" ht="12.75">
      <c r="A110" s="6">
        <v>7.17</v>
      </c>
      <c r="B110" s="32"/>
      <c r="C110" s="33" t="s">
        <v>15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BAN</v>
      </c>
    </row>
    <row r="111" spans="1:36" ht="12.75">
      <c r="A111" s="6">
        <v>7.18</v>
      </c>
      <c r="B111" s="32"/>
      <c r="C111" s="33" t="s">
        <v>15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BAN</v>
      </c>
    </row>
    <row r="112" spans="1:36" ht="12.75">
      <c r="A112" s="6">
        <v>7.19</v>
      </c>
      <c r="B112" s="32"/>
      <c r="C112" s="33" t="s">
        <v>46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BAN</v>
      </c>
    </row>
    <row r="113" spans="1:36" ht="12.75">
      <c r="A113" s="6">
        <v>7.2</v>
      </c>
      <c r="B113" s="32"/>
      <c r="C113" s="33" t="s">
        <v>46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BAN</v>
      </c>
    </row>
    <row r="114" spans="1:36" ht="12.75">
      <c r="A114" s="6">
        <v>7.21</v>
      </c>
      <c r="B114" s="32"/>
      <c r="C114" s="33" t="s">
        <v>46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BAN</v>
      </c>
    </row>
    <row r="115" spans="1:36" ht="12.75">
      <c r="A115" s="6">
        <v>7.22</v>
      </c>
      <c r="B115" s="32"/>
      <c r="C115" s="33" t="s">
        <v>46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BAN</v>
      </c>
    </row>
    <row r="116" spans="1:36" ht="12.75">
      <c r="A116" s="6">
        <v>7.23</v>
      </c>
      <c r="B116" s="33"/>
      <c r="C116" s="33" t="s">
        <v>49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BAN</v>
      </c>
    </row>
    <row r="117" spans="1:36" ht="12.75">
      <c r="A117" s="6">
        <v>7.24</v>
      </c>
      <c r="B117" s="33"/>
      <c r="C117" s="33" t="s">
        <v>49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BAN</v>
      </c>
    </row>
    <row r="118" spans="1:36" ht="12.75">
      <c r="A118" s="6">
        <v>7.25</v>
      </c>
      <c r="B118" s="33"/>
      <c r="C118" s="33" t="s">
        <v>49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BAN</v>
      </c>
    </row>
    <row r="119" spans="1:36" ht="12.75">
      <c r="A119" s="6">
        <v>7.26</v>
      </c>
      <c r="B119" s="33"/>
      <c r="C119" s="33" t="s">
        <v>49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BAN</v>
      </c>
    </row>
    <row r="120" spans="1:36" ht="12.75">
      <c r="A120" s="6">
        <v>7.27</v>
      </c>
      <c r="B120" s="32" t="s">
        <v>32</v>
      </c>
      <c r="C120" s="33" t="s">
        <v>39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BAN</v>
      </c>
    </row>
    <row r="121" spans="1:36" ht="12.75">
      <c r="A121" s="6">
        <v>7.28</v>
      </c>
      <c r="B121" s="32" t="s">
        <v>32</v>
      </c>
      <c r="C121" s="33" t="s">
        <v>39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BAN</v>
      </c>
    </row>
    <row r="122" spans="1:36" ht="12.75">
      <c r="A122" s="6">
        <v>7.29</v>
      </c>
      <c r="B122" s="32" t="s">
        <v>32</v>
      </c>
      <c r="C122" s="33" t="s">
        <v>39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BAN</v>
      </c>
    </row>
    <row r="123" spans="1:36" ht="12.75">
      <c r="A123" s="6">
        <v>7.3</v>
      </c>
      <c r="B123" s="32" t="s">
        <v>32</v>
      </c>
      <c r="C123" s="33" t="s">
        <v>39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BAN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2" t="s">
        <v>32</v>
      </c>
      <c r="C125" s="33" t="s">
        <v>33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BAN</v>
      </c>
    </row>
    <row r="126" spans="1:36" ht="12.75">
      <c r="A126" s="6">
        <v>8.02</v>
      </c>
      <c r="B126" s="32" t="s">
        <v>32</v>
      </c>
      <c r="C126" s="33" t="s">
        <v>33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BAN</v>
      </c>
    </row>
    <row r="127" spans="1:36" ht="12.75">
      <c r="A127" s="6">
        <v>8.0299999999999994</v>
      </c>
      <c r="B127" s="32" t="s">
        <v>32</v>
      </c>
      <c r="C127" s="33" t="s">
        <v>33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BAN</v>
      </c>
    </row>
    <row r="128" spans="1:36" ht="12.75">
      <c r="A128" s="6">
        <v>8.0399999999999991</v>
      </c>
      <c r="B128" s="32" t="s">
        <v>32</v>
      </c>
      <c r="C128" s="33" t="s">
        <v>33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BAN</v>
      </c>
    </row>
    <row r="129" spans="1:36" ht="12.75">
      <c r="A129" s="6">
        <v>8.0500000000000007</v>
      </c>
      <c r="B129" s="33"/>
      <c r="C129" s="33" t="s">
        <v>42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BAN</v>
      </c>
    </row>
    <row r="130" spans="1:36" ht="12.75">
      <c r="A130" s="6">
        <v>8.06</v>
      </c>
      <c r="B130" s="33"/>
      <c r="C130" s="33" t="s">
        <v>42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BAN</v>
      </c>
    </row>
    <row r="131" spans="1:36" ht="12.75">
      <c r="A131" s="6">
        <v>8.07</v>
      </c>
      <c r="B131" s="33"/>
      <c r="C131" s="33" t="s">
        <v>42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BAN</v>
      </c>
    </row>
    <row r="132" spans="1:36" ht="12.75">
      <c r="A132" s="6">
        <v>8.08</v>
      </c>
      <c r="B132" s="33"/>
      <c r="C132" s="33" t="s">
        <v>42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BAN</v>
      </c>
    </row>
    <row r="133" spans="1:36" ht="12.75">
      <c r="A133" s="6">
        <v>8.09</v>
      </c>
      <c r="B133" s="32" t="s">
        <v>32</v>
      </c>
      <c r="C133" s="33" t="s">
        <v>15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BAN</v>
      </c>
    </row>
    <row r="134" spans="1:36" ht="12.75">
      <c r="A134" s="6">
        <v>8.1</v>
      </c>
      <c r="B134" s="32" t="s">
        <v>32</v>
      </c>
      <c r="C134" s="33" t="s">
        <v>15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BAN</v>
      </c>
    </row>
    <row r="135" spans="1:36" ht="12.75">
      <c r="A135" s="6">
        <v>8.11</v>
      </c>
      <c r="B135" s="32" t="s">
        <v>32</v>
      </c>
      <c r="C135" s="33" t="s">
        <v>15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BAN</v>
      </c>
    </row>
    <row r="136" spans="1:36" ht="12.75">
      <c r="A136" s="6">
        <v>8.1199999999999992</v>
      </c>
      <c r="B136" s="32" t="s">
        <v>32</v>
      </c>
      <c r="C136" s="33" t="s">
        <v>15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BAN</v>
      </c>
    </row>
    <row r="137" spans="1:36" ht="12.75">
      <c r="A137" s="6">
        <v>8.1300000000000008</v>
      </c>
      <c r="B137" s="33"/>
      <c r="C137" s="33" t="s">
        <v>41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BAN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41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BAN</v>
      </c>
    </row>
    <row r="140" spans="1:36" ht="12.75">
      <c r="A140" s="6">
        <v>8.16</v>
      </c>
      <c r="B140" s="33"/>
      <c r="C140" s="33" t="s">
        <v>41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BAN</v>
      </c>
    </row>
    <row r="141" spans="1:36" ht="12.75">
      <c r="A141" s="6">
        <v>8.17</v>
      </c>
      <c r="B141" s="33"/>
      <c r="C141" s="33" t="s">
        <v>41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BAN</v>
      </c>
    </row>
    <row r="142" spans="1:36" ht="12.75">
      <c r="A142" s="6">
        <v>8.18</v>
      </c>
      <c r="B142" s="33"/>
      <c r="C142" s="33" t="s">
        <v>16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BAN</v>
      </c>
    </row>
    <row r="143" spans="1:36" ht="12.75">
      <c r="A143" s="6">
        <v>8.19</v>
      </c>
      <c r="B143" s="33"/>
      <c r="C143" s="33" t="s">
        <v>16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BAN</v>
      </c>
    </row>
    <row r="144" spans="1:36" ht="12.75">
      <c r="A144" s="6">
        <v>8.1999999999999993</v>
      </c>
      <c r="B144" s="33"/>
      <c r="C144" s="33" t="s">
        <v>16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BAN</v>
      </c>
    </row>
    <row r="145" spans="1:36" ht="12.75">
      <c r="A145" s="6">
        <v>8.2100000000000009</v>
      </c>
      <c r="B145" s="33" t="s">
        <v>32</v>
      </c>
      <c r="C145" s="33" t="s">
        <v>52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BAN</v>
      </c>
    </row>
    <row r="146" spans="1:36" ht="12.75">
      <c r="A146" s="6">
        <v>8.2200000000000006</v>
      </c>
      <c r="B146" s="33" t="s">
        <v>32</v>
      </c>
      <c r="C146" s="33" t="s">
        <v>52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BAN</v>
      </c>
    </row>
    <row r="147" spans="1:36" ht="12.75">
      <c r="A147" s="6">
        <v>8.23</v>
      </c>
      <c r="B147" s="33" t="s">
        <v>32</v>
      </c>
      <c r="C147" s="33" t="s">
        <v>52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BAN</v>
      </c>
    </row>
    <row r="148" spans="1:36" ht="12.75">
      <c r="A148" s="6">
        <v>8.24</v>
      </c>
      <c r="B148" s="33" t="s">
        <v>32</v>
      </c>
      <c r="C148" s="33" t="s">
        <v>52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BAN</v>
      </c>
    </row>
    <row r="149" spans="1:36" ht="12.75">
      <c r="A149" s="6">
        <v>8.25</v>
      </c>
      <c r="B149" s="32" t="s">
        <v>32</v>
      </c>
      <c r="C149" s="33" t="s">
        <v>40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BAN</v>
      </c>
    </row>
    <row r="150" spans="1:36" ht="12.75">
      <c r="A150" s="6">
        <v>8.26</v>
      </c>
      <c r="B150" s="32" t="s">
        <v>32</v>
      </c>
      <c r="C150" s="33" t="s">
        <v>40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BAN</v>
      </c>
    </row>
    <row r="151" spans="1:36" ht="12.75">
      <c r="A151" s="6">
        <v>8.27</v>
      </c>
      <c r="B151" s="32" t="s">
        <v>32</v>
      </c>
      <c r="C151" s="33" t="s">
        <v>40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BAN</v>
      </c>
    </row>
    <row r="152" spans="1:36" ht="12.75">
      <c r="A152" s="6">
        <v>8.2799999999999994</v>
      </c>
      <c r="B152" s="32" t="s">
        <v>32</v>
      </c>
      <c r="C152" s="33" t="s">
        <v>40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BAN</v>
      </c>
    </row>
    <row r="153" spans="1:36" ht="12.75">
      <c r="A153" s="6">
        <v>8.2899999999999991</v>
      </c>
      <c r="B153" s="32" t="s">
        <v>32</v>
      </c>
      <c r="C153" s="33" t="s">
        <v>17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BAN</v>
      </c>
    </row>
    <row r="154" spans="1:36" ht="12.75">
      <c r="A154" s="6">
        <v>8.3000000000000007</v>
      </c>
      <c r="B154" s="32" t="s">
        <v>32</v>
      </c>
      <c r="C154" s="33" t="s">
        <v>17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BAN</v>
      </c>
    </row>
    <row r="155" spans="1:36" ht="12.75">
      <c r="A155" s="6">
        <v>8.31</v>
      </c>
      <c r="B155" s="32" t="s">
        <v>32</v>
      </c>
      <c r="C155" s="33" t="s">
        <v>17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BAN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54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BAN</v>
      </c>
    </row>
    <row r="158" spans="1:36" ht="12.75">
      <c r="A158" s="6">
        <v>9.0299999999999994</v>
      </c>
      <c r="B158" s="33" t="s">
        <v>32</v>
      </c>
      <c r="C158" s="33" t="s">
        <v>54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BAN</v>
      </c>
    </row>
    <row r="159" spans="1:36" ht="12.75">
      <c r="A159" s="6">
        <v>9.0399999999999991</v>
      </c>
      <c r="B159" s="33" t="s">
        <v>32</v>
      </c>
      <c r="C159" s="33" t="s">
        <v>54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BAN</v>
      </c>
    </row>
    <row r="160" spans="1:36" ht="12.75">
      <c r="A160" s="6">
        <v>9.0500000000000007</v>
      </c>
      <c r="B160" s="32" t="s">
        <v>32</v>
      </c>
      <c r="C160" s="33" t="s">
        <v>1191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BAN</v>
      </c>
    </row>
    <row r="161" spans="1:36" ht="12.75">
      <c r="A161" s="6">
        <v>9.06</v>
      </c>
      <c r="B161" s="32" t="s">
        <v>32</v>
      </c>
      <c r="C161" s="33" t="s">
        <v>1191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BAN</v>
      </c>
    </row>
    <row r="162" spans="1:36" ht="12.75">
      <c r="A162" s="6">
        <v>9.07</v>
      </c>
      <c r="B162" s="32" t="s">
        <v>32</v>
      </c>
      <c r="C162" s="33" t="s">
        <v>1191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BAN</v>
      </c>
    </row>
    <row r="163" spans="1:36" ht="12.75">
      <c r="A163" s="6">
        <v>9.08</v>
      </c>
      <c r="B163" s="32"/>
      <c r="C163" s="33" t="s">
        <v>1918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BAN</v>
      </c>
    </row>
    <row r="164" spans="1:36" ht="12.75">
      <c r="A164" s="6">
        <v>9.09</v>
      </c>
      <c r="B164" s="32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2"/>
      <c r="C165" s="33" t="s">
        <v>1918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BAN</v>
      </c>
    </row>
    <row r="166" spans="1:36" ht="12.75">
      <c r="A166" s="6">
        <v>9.11</v>
      </c>
      <c r="B166" s="32"/>
      <c r="C166" s="33" t="s">
        <v>1918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BAN</v>
      </c>
    </row>
    <row r="167" spans="1:36" ht="12.75">
      <c r="A167" s="6">
        <v>9.1199999999999992</v>
      </c>
      <c r="B167" s="33"/>
      <c r="C167" s="33" t="s">
        <v>45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BAN</v>
      </c>
    </row>
    <row r="168" spans="1:36" ht="12.75">
      <c r="A168" s="6">
        <v>9.1300000000000008</v>
      </c>
      <c r="B168" s="33"/>
      <c r="C168" s="33" t="s">
        <v>45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BAN</v>
      </c>
    </row>
    <row r="169" spans="1:36" ht="12.75">
      <c r="A169" s="6">
        <v>9.14</v>
      </c>
      <c r="B169" s="33"/>
      <c r="C169" s="33" t="s">
        <v>45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BAN</v>
      </c>
    </row>
    <row r="170" spans="1:36" ht="12.75">
      <c r="A170" s="6">
        <v>9.15</v>
      </c>
      <c r="B170" s="33"/>
      <c r="C170" s="33" t="s">
        <v>45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BAN</v>
      </c>
    </row>
    <row r="171" spans="1:36" ht="12.75">
      <c r="A171" s="6">
        <v>9.16</v>
      </c>
      <c r="B171" s="33"/>
      <c r="C171" s="33" t="s">
        <v>33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BAN</v>
      </c>
    </row>
    <row r="172" spans="1:36" ht="12.75">
      <c r="A172" s="6">
        <v>9.17</v>
      </c>
      <c r="B172" s="33"/>
      <c r="C172" s="33" t="s">
        <v>33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BAN</v>
      </c>
    </row>
    <row r="173" spans="1:36" ht="12.75">
      <c r="A173" s="6">
        <v>9.18</v>
      </c>
      <c r="B173" s="33"/>
      <c r="C173" s="33" t="s">
        <v>33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BAN</v>
      </c>
    </row>
    <row r="174" spans="1:36" ht="12.75">
      <c r="A174" s="6">
        <v>9.19</v>
      </c>
      <c r="B174" s="33"/>
      <c r="C174" s="33" t="s">
        <v>44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BAN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44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BAN</v>
      </c>
    </row>
    <row r="177" spans="1:36" ht="12.75">
      <c r="A177" s="6">
        <v>9.2200000000000006</v>
      </c>
      <c r="B177" s="33"/>
      <c r="C177" s="33" t="s">
        <v>44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BAN</v>
      </c>
    </row>
    <row r="178" spans="1:36" ht="12.75">
      <c r="A178" s="6">
        <v>9.23</v>
      </c>
      <c r="B178" s="33"/>
      <c r="C178" s="33" t="s">
        <v>44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BAN</v>
      </c>
    </row>
    <row r="179" spans="1:36" ht="12.75">
      <c r="A179" s="6">
        <v>9.24</v>
      </c>
      <c r="B179" s="34"/>
      <c r="C179" s="33" t="s">
        <v>35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BAN</v>
      </c>
    </row>
    <row r="180" spans="1:36" ht="12.75">
      <c r="A180" s="6">
        <v>9.25</v>
      </c>
      <c r="B180" s="34"/>
      <c r="C180" s="33" t="s">
        <v>35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BAN</v>
      </c>
    </row>
    <row r="181" spans="1:36" ht="12.75">
      <c r="A181" s="6">
        <v>9.26</v>
      </c>
      <c r="B181" s="34"/>
      <c r="C181" s="33" t="s">
        <v>35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BAN</v>
      </c>
    </row>
    <row r="182" spans="1:36" ht="12.75">
      <c r="A182" s="6">
        <v>9.27</v>
      </c>
      <c r="B182" s="32" t="s">
        <v>32</v>
      </c>
      <c r="C182" s="33" t="s">
        <v>56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BAN</v>
      </c>
    </row>
    <row r="183" spans="1:36" ht="12.75">
      <c r="A183" s="6">
        <v>9.2799999999999994</v>
      </c>
      <c r="B183" s="32" t="s">
        <v>32</v>
      </c>
      <c r="C183" s="33" t="s">
        <v>56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BAN</v>
      </c>
    </row>
    <row r="184" spans="1:36" ht="12.75">
      <c r="A184" s="6">
        <v>9.2899999999999991</v>
      </c>
      <c r="B184" s="32" t="s">
        <v>32</v>
      </c>
      <c r="C184" s="33" t="s">
        <v>56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BAN</v>
      </c>
    </row>
    <row r="185" spans="1:36" ht="12.75">
      <c r="A185" s="6">
        <v>9.3000000000000007</v>
      </c>
      <c r="B185" s="32" t="s">
        <v>32</v>
      </c>
      <c r="C185" s="33" t="s">
        <v>56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BAN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28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28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28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28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28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28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K197" s="2"/>
      <c r="AJ197" s="2"/>
    </row>
    <row r="198" spans="3:36">
      <c r="C198" s="2"/>
      <c r="K198" s="2"/>
      <c r="AJ198" s="2"/>
    </row>
    <row r="199" spans="3:36">
      <c r="C199" s="2"/>
      <c r="K199" s="2"/>
      <c r="AJ199" s="2"/>
    </row>
    <row r="200" spans="3:36">
      <c r="C200" s="2"/>
      <c r="K200" s="2"/>
      <c r="AJ200" s="2"/>
    </row>
    <row r="201" spans="3:36">
      <c r="C201" s="2"/>
      <c r="K201" s="2"/>
      <c r="AJ201" s="2"/>
    </row>
    <row r="202" spans="3:36">
      <c r="C202" s="2"/>
      <c r="K202" s="2"/>
      <c r="AJ202" s="2"/>
    </row>
    <row r="203" spans="3:36">
      <c r="C203" s="2"/>
      <c r="K203" s="2"/>
      <c r="AJ203" s="2"/>
    </row>
    <row r="204" spans="3:36">
      <c r="C204" s="2"/>
      <c r="AJ204" s="2"/>
    </row>
    <row r="205" spans="3:36">
      <c r="C205" s="2"/>
      <c r="AJ205" s="2"/>
    </row>
    <row r="206" spans="3:36">
      <c r="C206" s="2"/>
      <c r="AJ206" s="2"/>
    </row>
    <row r="207" spans="3:36">
      <c r="C207" s="2"/>
      <c r="AJ207" s="2"/>
    </row>
    <row r="208" spans="3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</sheetData>
  <phoneticPr fontId="5" type="noConversion"/>
  <conditionalFormatting sqref="AK3:AK22">
    <cfRule type="cellIs" dxfId="8380" priority="3376" stopIfTrue="1" operator="equal">
      <formula>"must average at least 5 innings per start"</formula>
    </cfRule>
  </conditionalFormatting>
  <conditionalFormatting sqref="AK23">
    <cfRule type="cellIs" dxfId="8379" priority="3377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78" priority="3378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8377" priority="3379" stopIfTrue="1" operator="equal">
      <formula>"input a different starter in column C"</formula>
    </cfRule>
  </conditionalFormatting>
  <conditionalFormatting sqref="AH3:AH22">
    <cfRule type="cellIs" dxfId="8376" priority="2920" stopIfTrue="1" operator="equal">
      <formula>"must average at least 5 innings per start"</formula>
    </cfRule>
  </conditionalFormatting>
  <conditionalFormatting sqref="AH23">
    <cfRule type="cellIs" dxfId="8375" priority="2919" stopIfTrue="1" operator="equal">
      <formula>"must have 162 starts"</formula>
    </cfRule>
  </conditionalFormatting>
  <conditionalFormatting sqref="AG3:AG22">
    <cfRule type="cellIs" dxfId="8374" priority="2918" stopIfTrue="1" operator="equal">
      <formula>"must average at least 5 innings per start"</formula>
    </cfRule>
  </conditionalFormatting>
  <conditionalFormatting sqref="AG23">
    <cfRule type="cellIs" dxfId="8373" priority="2917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72" priority="291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71" priority="291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70" priority="291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69" priority="291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68" priority="291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67" priority="291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66" priority="291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365" priority="2909" stopIfTrue="1" operator="equal">
      <formula>"input starter in column C"</formula>
    </cfRule>
  </conditionalFormatting>
  <conditionalFormatting sqref="P3">
    <cfRule type="cellIs" dxfId="8364" priority="2908" stopIfTrue="1" operator="equal">
      <formula>"input starter in column D"</formula>
    </cfRule>
  </conditionalFormatting>
  <conditionalFormatting sqref="P4">
    <cfRule type="cellIs" dxfId="8363" priority="2907" stopIfTrue="1" operator="equal">
      <formula>"input starter in column D"</formula>
    </cfRule>
  </conditionalFormatting>
  <conditionalFormatting sqref="P5">
    <cfRule type="cellIs" dxfId="8362" priority="2906" stopIfTrue="1" operator="equal">
      <formula>"INPUT STARTER IN COLUMN D"</formula>
    </cfRule>
  </conditionalFormatting>
  <conditionalFormatting sqref="P6">
    <cfRule type="cellIs" dxfId="8361" priority="2905" stopIfTrue="1" operator="equal">
      <formula>"INPUT STARTER IN COLUMN D"</formula>
    </cfRule>
  </conditionalFormatting>
  <conditionalFormatting sqref="P8">
    <cfRule type="cellIs" dxfId="8360" priority="2904" stopIfTrue="1" operator="equal">
      <formula>"INPUT STARTER IN COLUMN D"</formula>
    </cfRule>
  </conditionalFormatting>
  <conditionalFormatting sqref="P9">
    <cfRule type="cellIs" dxfId="8359" priority="2903" stopIfTrue="1" operator="equal">
      <formula>"INPUT STARTER IN COLUMN D"</formula>
    </cfRule>
  </conditionalFormatting>
  <conditionalFormatting sqref="P10">
    <cfRule type="cellIs" dxfId="8358" priority="2902" stopIfTrue="1" operator="equal">
      <formula>"INPUT STARTER IN COLUMN D"</formula>
    </cfRule>
  </conditionalFormatting>
  <conditionalFormatting sqref="P11">
    <cfRule type="cellIs" dxfId="8357" priority="2901" stopIfTrue="1" operator="equal">
      <formula>"INPUT STARTER IN COLUMN D"</formula>
    </cfRule>
  </conditionalFormatting>
  <conditionalFormatting sqref="P13">
    <cfRule type="cellIs" dxfId="8356" priority="2900" stopIfTrue="1" operator="equal">
      <formula>"INPUT STARTER IN COLUMN D"</formula>
    </cfRule>
  </conditionalFormatting>
  <conditionalFormatting sqref="P14">
    <cfRule type="cellIs" dxfId="8355" priority="2899" stopIfTrue="1" operator="equal">
      <formula>"INPUT STARTER IN COLUMN D"</formula>
    </cfRule>
  </conditionalFormatting>
  <conditionalFormatting sqref="P15">
    <cfRule type="cellIs" dxfId="8354" priority="2898" stopIfTrue="1" operator="equal">
      <formula>"INPUT STARTER IN COLUMN D"</formula>
    </cfRule>
  </conditionalFormatting>
  <conditionalFormatting sqref="P16">
    <cfRule type="cellIs" dxfId="8353" priority="2897" stopIfTrue="1" operator="equal">
      <formula>"INPUT STARTER IN COLUMN D"</formula>
    </cfRule>
  </conditionalFormatting>
  <conditionalFormatting sqref="P18">
    <cfRule type="cellIs" dxfId="8352" priority="2896" stopIfTrue="1" operator="equal">
      <formula>"INPUT STARTER IN COLUMN D"</formula>
    </cfRule>
  </conditionalFormatting>
  <conditionalFormatting sqref="P19">
    <cfRule type="cellIs" dxfId="8351" priority="2895" stopIfTrue="1" operator="equal">
      <formula>"INPUT STARTER IN COLUMN D"</formula>
    </cfRule>
  </conditionalFormatting>
  <conditionalFormatting sqref="P20">
    <cfRule type="cellIs" dxfId="8350" priority="2894" stopIfTrue="1" operator="equal">
      <formula>"INPUT STARTER IN COLUMN D"</formula>
    </cfRule>
  </conditionalFormatting>
  <conditionalFormatting sqref="P21">
    <cfRule type="cellIs" dxfId="8349" priority="2893" stopIfTrue="1" operator="equal">
      <formula>"INPUT STARTER IN COLUMN D"</formula>
    </cfRule>
  </conditionalFormatting>
  <conditionalFormatting sqref="P23">
    <cfRule type="cellIs" dxfId="8348" priority="2892" stopIfTrue="1" operator="equal">
      <formula>"INPUT STARTER IN COLUMN D"</formula>
    </cfRule>
  </conditionalFormatting>
  <conditionalFormatting sqref="P24">
    <cfRule type="cellIs" dxfId="8347" priority="2891" stopIfTrue="1" operator="equal">
      <formula>"INPUT STARTER IN COLUMN D"</formula>
    </cfRule>
  </conditionalFormatting>
  <conditionalFormatting sqref="P25">
    <cfRule type="cellIs" dxfId="8346" priority="2890" stopIfTrue="1" operator="equal">
      <formula>"INPUT STARTER IN COLUMN D"</formula>
    </cfRule>
  </conditionalFormatting>
  <conditionalFormatting sqref="P26">
    <cfRule type="cellIs" dxfId="8345" priority="2889" stopIfTrue="1" operator="equal">
      <formula>"INPUT STARTER IN COLUMN D"</formula>
    </cfRule>
  </conditionalFormatting>
  <conditionalFormatting sqref="P28">
    <cfRule type="cellIs" dxfId="8344" priority="2888" stopIfTrue="1" operator="equal">
      <formula>"INPUT STARTER IN COLUMN D"</formula>
    </cfRule>
  </conditionalFormatting>
  <conditionalFormatting sqref="P29">
    <cfRule type="cellIs" dxfId="8343" priority="2887" stopIfTrue="1" operator="equal">
      <formula>"INPUT STARTER IN COLUMN D"</formula>
    </cfRule>
  </conditionalFormatting>
  <conditionalFormatting sqref="P30">
    <cfRule type="cellIs" dxfId="8342" priority="2886" stopIfTrue="1" operator="equal">
      <formula>"INPUT STARTER IN COLUMN D"</formula>
    </cfRule>
  </conditionalFormatting>
  <conditionalFormatting sqref="P31">
    <cfRule type="cellIs" dxfId="8341" priority="2885" stopIfTrue="1" operator="equal">
      <formula>"INPUT STARTER IN COLUMN D"</formula>
    </cfRule>
  </conditionalFormatting>
  <conditionalFormatting sqref="P33">
    <cfRule type="cellIs" dxfId="8340" priority="2884" stopIfTrue="1" operator="equal">
      <formula>"INPUT STARTER IN COLUMN D"</formula>
    </cfRule>
  </conditionalFormatting>
  <conditionalFormatting sqref="P34">
    <cfRule type="cellIs" dxfId="8339" priority="2883" stopIfTrue="1" operator="equal">
      <formula>"INPUT STARTER IN COLUMN D"</formula>
    </cfRule>
  </conditionalFormatting>
  <conditionalFormatting sqref="P35">
    <cfRule type="cellIs" dxfId="8338" priority="2882" stopIfTrue="1" operator="equal">
      <formula>"INPUT STARTER IN COLUMN D"</formula>
    </cfRule>
  </conditionalFormatting>
  <conditionalFormatting sqref="P36">
    <cfRule type="cellIs" dxfId="8337" priority="2881" stopIfTrue="1" operator="equal">
      <formula>"INPUT STARTER IN COLUMN D"</formula>
    </cfRule>
  </conditionalFormatting>
  <conditionalFormatting sqref="P37">
    <cfRule type="cellIs" dxfId="8336" priority="2880" stopIfTrue="1" operator="equal">
      <formula>"INPUT STARTER IN COLUMN D"</formula>
    </cfRule>
  </conditionalFormatting>
  <conditionalFormatting sqref="P38">
    <cfRule type="cellIs" dxfId="8335" priority="2879" stopIfTrue="1" operator="equal">
      <formula>"INPUT STARTER IN COLUMN D"</formula>
    </cfRule>
  </conditionalFormatting>
  <conditionalFormatting sqref="P39">
    <cfRule type="cellIs" dxfId="8334" priority="2878" stopIfTrue="1" operator="equal">
      <formula>"INPUT STARTER IN COLUMN D"</formula>
    </cfRule>
  </conditionalFormatting>
  <conditionalFormatting sqref="P40">
    <cfRule type="cellIs" dxfId="8333" priority="2877" stopIfTrue="1" operator="equal">
      <formula>"INPUT STARTER IN COLUMN D"</formula>
    </cfRule>
  </conditionalFormatting>
  <conditionalFormatting sqref="P42">
    <cfRule type="cellIs" dxfId="8332" priority="2876" stopIfTrue="1" operator="equal">
      <formula>"INPUT STARTER IN COLUMN D"</formula>
    </cfRule>
  </conditionalFormatting>
  <conditionalFormatting sqref="P43">
    <cfRule type="cellIs" dxfId="8331" priority="2875" stopIfTrue="1" operator="equal">
      <formula>"INPUT STARTER IN COLUMN D"</formula>
    </cfRule>
  </conditionalFormatting>
  <conditionalFormatting sqref="P44">
    <cfRule type="cellIs" dxfId="8330" priority="2874" stopIfTrue="1" operator="equal">
      <formula>"INPUT STARTER IN COLUMN D"</formula>
    </cfRule>
  </conditionalFormatting>
  <conditionalFormatting sqref="P45">
    <cfRule type="cellIs" dxfId="8329" priority="2873" stopIfTrue="1" operator="equal">
      <formula>"INPUT STARTER IN COLUMN D"</formula>
    </cfRule>
  </conditionalFormatting>
  <conditionalFormatting sqref="P46">
    <cfRule type="cellIs" dxfId="8328" priority="2872" stopIfTrue="1" operator="equal">
      <formula>"INPUT STARTER IN COLUMN D"</formula>
    </cfRule>
  </conditionalFormatting>
  <conditionalFormatting sqref="P47">
    <cfRule type="cellIs" dxfId="8327" priority="2871" stopIfTrue="1" operator="equal">
      <formula>"INPUT STARTER IN COLUMN D"</formula>
    </cfRule>
  </conditionalFormatting>
  <conditionalFormatting sqref="P49">
    <cfRule type="cellIs" dxfId="8326" priority="2870" stopIfTrue="1" operator="equal">
      <formula>"INPUT STARTER IN COLUMN D"</formula>
    </cfRule>
  </conditionalFormatting>
  <conditionalFormatting sqref="P50">
    <cfRule type="cellIs" dxfId="8325" priority="2869" stopIfTrue="1" operator="equal">
      <formula>"INPUT STARTER IN COLUMN D"</formula>
    </cfRule>
  </conditionalFormatting>
  <conditionalFormatting sqref="P51">
    <cfRule type="cellIs" dxfId="8324" priority="2868" stopIfTrue="1" operator="equal">
      <formula>"INPUT STARTER IN COLUMN D"</formula>
    </cfRule>
  </conditionalFormatting>
  <conditionalFormatting sqref="P52">
    <cfRule type="cellIs" dxfId="8323" priority="2867" stopIfTrue="1" operator="equal">
      <formula>"INPUT STARTER IN COLUMN D"</formula>
    </cfRule>
  </conditionalFormatting>
  <conditionalFormatting sqref="P53">
    <cfRule type="cellIs" dxfId="8322" priority="2866" stopIfTrue="1" operator="equal">
      <formula>"INPUT STARTER IN COLUMN D"</formula>
    </cfRule>
  </conditionalFormatting>
  <conditionalFormatting sqref="P54">
    <cfRule type="cellIs" dxfId="8321" priority="2865" stopIfTrue="1" operator="equal">
      <formula>"INPUT STARTER IN COLUMN D"</formula>
    </cfRule>
  </conditionalFormatting>
  <conditionalFormatting sqref="P56">
    <cfRule type="cellIs" dxfId="8320" priority="2864" stopIfTrue="1" operator="equal">
      <formula>"INPUT STARTER IN COLUMN D"</formula>
    </cfRule>
  </conditionalFormatting>
  <conditionalFormatting sqref="P57">
    <cfRule type="cellIs" dxfId="8319" priority="2863" stopIfTrue="1" operator="equal">
      <formula>"INPUT STARTER IN COLUMN D"</formula>
    </cfRule>
  </conditionalFormatting>
  <conditionalFormatting sqref="P58">
    <cfRule type="cellIs" dxfId="8318" priority="2862" stopIfTrue="1" operator="equal">
      <formula>"INPUT STARTER IN COLUMN D"</formula>
    </cfRule>
  </conditionalFormatting>
  <conditionalFormatting sqref="P59">
    <cfRule type="cellIs" dxfId="8317" priority="2861" stopIfTrue="1" operator="equal">
      <formula>"INPUT STARTER IN COLUMN D"</formula>
    </cfRule>
  </conditionalFormatting>
  <conditionalFormatting sqref="P60">
    <cfRule type="cellIs" dxfId="8316" priority="2860" stopIfTrue="1" operator="equal">
      <formula>"INPUT STARTER IN COLUMN D"</formula>
    </cfRule>
  </conditionalFormatting>
  <conditionalFormatting sqref="P61">
    <cfRule type="cellIs" dxfId="8315" priority="2859" stopIfTrue="1" operator="equal">
      <formula>"INPUT STARTER IN COLUMN D"</formula>
    </cfRule>
  </conditionalFormatting>
  <conditionalFormatting sqref="P63">
    <cfRule type="cellIs" dxfId="8314" priority="2858" stopIfTrue="1" operator="equal">
      <formula>"INPUT STARTER IN COLUMN D"</formula>
    </cfRule>
  </conditionalFormatting>
  <conditionalFormatting sqref="P64">
    <cfRule type="cellIs" dxfId="8313" priority="2857" stopIfTrue="1" operator="equal">
      <formula>"INPUT STARTER IN COLUMN D"</formula>
    </cfRule>
  </conditionalFormatting>
  <conditionalFormatting sqref="P65">
    <cfRule type="cellIs" dxfId="8312" priority="2856" stopIfTrue="1" operator="equal">
      <formula>"INPUT STARTER IN COLUMN D"</formula>
    </cfRule>
  </conditionalFormatting>
  <conditionalFormatting sqref="P66">
    <cfRule type="cellIs" dxfId="8311" priority="2855" stopIfTrue="1" operator="equal">
      <formula>"INPUT STARTER IN COLUMN D"</formula>
    </cfRule>
  </conditionalFormatting>
  <conditionalFormatting sqref="P67">
    <cfRule type="cellIs" dxfId="8310" priority="2854" stopIfTrue="1" operator="equal">
      <formula>"INPUT STARTER IN COLUMN D"</formula>
    </cfRule>
  </conditionalFormatting>
  <conditionalFormatting sqref="P68">
    <cfRule type="cellIs" dxfId="8309" priority="2853" stopIfTrue="1" operator="equal">
      <formula>"INPUT STARTER IN COLUMN D"</formula>
    </cfRule>
  </conditionalFormatting>
  <conditionalFormatting sqref="P69">
    <cfRule type="cellIs" dxfId="8308" priority="2852" stopIfTrue="1" operator="equal">
      <formula>"INPUT STARTER IN COLUMN D"</formula>
    </cfRule>
  </conditionalFormatting>
  <conditionalFormatting sqref="P71">
    <cfRule type="cellIs" dxfId="8307" priority="2851" stopIfTrue="1" operator="equal">
      <formula>"INPUT STARTER IN COLUMN D"</formula>
    </cfRule>
  </conditionalFormatting>
  <conditionalFormatting sqref="P72">
    <cfRule type="cellIs" dxfId="8306" priority="2850" stopIfTrue="1" operator="equal">
      <formula>"INPUT STARTER IN COLUMN D"</formula>
    </cfRule>
  </conditionalFormatting>
  <conditionalFormatting sqref="P73">
    <cfRule type="cellIs" dxfId="8305" priority="2849" stopIfTrue="1" operator="equal">
      <formula>"INPUT STARTER IN COLUMN D"</formula>
    </cfRule>
  </conditionalFormatting>
  <conditionalFormatting sqref="P74">
    <cfRule type="cellIs" dxfId="8304" priority="2848" stopIfTrue="1" operator="equal">
      <formula>"INPUT STARTER IN COLUMN D"</formula>
    </cfRule>
  </conditionalFormatting>
  <conditionalFormatting sqref="P75">
    <cfRule type="cellIs" dxfId="8303" priority="2847" stopIfTrue="1" operator="equal">
      <formula>"INPUT STARTER IN COLUMN D"</formula>
    </cfRule>
  </conditionalFormatting>
  <conditionalFormatting sqref="P76">
    <cfRule type="cellIs" dxfId="8302" priority="2846" stopIfTrue="1" operator="equal">
      <formula>"INPUT STARTER IN COLUMN D"</formula>
    </cfRule>
  </conditionalFormatting>
  <conditionalFormatting sqref="P77">
    <cfRule type="cellIs" dxfId="8301" priority="2845" stopIfTrue="1" operator="equal">
      <formula>"INPUT STARTER IN COLUMN D"</formula>
    </cfRule>
  </conditionalFormatting>
  <conditionalFormatting sqref="P78">
    <cfRule type="cellIs" dxfId="8300" priority="2844" stopIfTrue="1" operator="equal">
      <formula>"INPUT STARTER IN COLUMN D"</formula>
    </cfRule>
  </conditionalFormatting>
  <conditionalFormatting sqref="P79">
    <cfRule type="cellIs" dxfId="8299" priority="2843" stopIfTrue="1" operator="equal">
      <formula>"INPUT STARTER IN COLUMN D"</formula>
    </cfRule>
  </conditionalFormatting>
  <conditionalFormatting sqref="P80">
    <cfRule type="cellIs" dxfId="8298" priority="2842" stopIfTrue="1" operator="equal">
      <formula>"INPUT STARTER IN COLUMN D"</formula>
    </cfRule>
  </conditionalFormatting>
  <conditionalFormatting sqref="P81">
    <cfRule type="cellIs" dxfId="8297" priority="2841" stopIfTrue="1" operator="equal">
      <formula>"INPUT STARTER IN COLUMN D"</formula>
    </cfRule>
  </conditionalFormatting>
  <conditionalFormatting sqref="P82">
    <cfRule type="cellIs" dxfId="8296" priority="2840" stopIfTrue="1" operator="equal">
      <formula>"INPUT STARTER IN COLUMN D"</formula>
    </cfRule>
  </conditionalFormatting>
  <conditionalFormatting sqref="P84">
    <cfRule type="cellIs" dxfId="8295" priority="2839" stopIfTrue="1" operator="equal">
      <formula>"INPUT STARTER IN COLUMN D"</formula>
    </cfRule>
  </conditionalFormatting>
  <conditionalFormatting sqref="P85">
    <cfRule type="cellIs" dxfId="8294" priority="2838" stopIfTrue="1" operator="equal">
      <formula>"INPUT STARTER IN COLUMN D"</formula>
    </cfRule>
  </conditionalFormatting>
  <conditionalFormatting sqref="P86">
    <cfRule type="cellIs" dxfId="8293" priority="2837" stopIfTrue="1" operator="equal">
      <formula>"INPUT STARTER IN COLUMN D"</formula>
    </cfRule>
  </conditionalFormatting>
  <conditionalFormatting sqref="P87">
    <cfRule type="cellIs" dxfId="8292" priority="2836" stopIfTrue="1" operator="equal">
      <formula>"INPUT STARTER IN COLUMN D"</formula>
    </cfRule>
  </conditionalFormatting>
  <conditionalFormatting sqref="P88">
    <cfRule type="cellIs" dxfId="8291" priority="2835" stopIfTrue="1" operator="equal">
      <formula>"INPUT STARTER IN COLUMN D"</formula>
    </cfRule>
  </conditionalFormatting>
  <conditionalFormatting sqref="P89">
    <cfRule type="cellIs" dxfId="8290" priority="2834" stopIfTrue="1" operator="equal">
      <formula>"INPUT STARTER IN COLUMN D"</formula>
    </cfRule>
  </conditionalFormatting>
  <conditionalFormatting sqref="P91">
    <cfRule type="cellIs" dxfId="8289" priority="2833" stopIfTrue="1" operator="equal">
      <formula>"INPUT STARTER IN COLUMN D"</formula>
    </cfRule>
  </conditionalFormatting>
  <conditionalFormatting sqref="P92">
    <cfRule type="cellIs" dxfId="8288" priority="2832" stopIfTrue="1" operator="equal">
      <formula>"INPUT STARTER IN COLUMN D"</formula>
    </cfRule>
  </conditionalFormatting>
  <conditionalFormatting sqref="P93">
    <cfRule type="cellIs" dxfId="8287" priority="2831" stopIfTrue="1" operator="equal">
      <formula>"INPUT STARTER IN COLUMN D"</formula>
    </cfRule>
  </conditionalFormatting>
  <conditionalFormatting sqref="P94">
    <cfRule type="cellIs" dxfId="8286" priority="2830" stopIfTrue="1" operator="equal">
      <formula>"INPUT STARTER IN COLUMN D"</formula>
    </cfRule>
  </conditionalFormatting>
  <conditionalFormatting sqref="P95">
    <cfRule type="cellIs" dxfId="8285" priority="2829" stopIfTrue="1" operator="equal">
      <formula>"INPUT STARTER IN COLUMN D"</formula>
    </cfRule>
  </conditionalFormatting>
  <conditionalFormatting sqref="P96">
    <cfRule type="cellIs" dxfId="8284" priority="2828" stopIfTrue="1" operator="equal">
      <formula>"INPUT STARTER IN COLUMN D"</formula>
    </cfRule>
  </conditionalFormatting>
  <conditionalFormatting sqref="P97">
    <cfRule type="cellIs" dxfId="8283" priority="2827" stopIfTrue="1" operator="equal">
      <formula>"INPUT STARTER IN COLUMN D"</formula>
    </cfRule>
  </conditionalFormatting>
  <conditionalFormatting sqref="P98">
    <cfRule type="cellIs" dxfId="8282" priority="2826" stopIfTrue="1" operator="equal">
      <formula>"INPUT STARTER IN COLUMN D"</formula>
    </cfRule>
  </conditionalFormatting>
  <conditionalFormatting sqref="P99">
    <cfRule type="cellIs" dxfId="8281" priority="2825" stopIfTrue="1" operator="equal">
      <formula>"INPUT STARTER IN COLUMN D"</formula>
    </cfRule>
  </conditionalFormatting>
  <conditionalFormatting sqref="P100">
    <cfRule type="cellIs" dxfId="8280" priority="2824" stopIfTrue="1" operator="equal">
      <formula>"INPUT STARTER IN COLUMN D"</formula>
    </cfRule>
  </conditionalFormatting>
  <conditionalFormatting sqref="P101">
    <cfRule type="cellIs" dxfId="8279" priority="2823" stopIfTrue="1" operator="equal">
      <formula>"INPUT STARTER IN COLUMN D"</formula>
    </cfRule>
  </conditionalFormatting>
  <conditionalFormatting sqref="P102">
    <cfRule type="cellIs" dxfId="8278" priority="2822" stopIfTrue="1" operator="equal">
      <formula>"INPUT STARTER IN COLUMN D"</formula>
    </cfRule>
  </conditionalFormatting>
  <conditionalFormatting sqref="P106">
    <cfRule type="cellIs" dxfId="8277" priority="2821" stopIfTrue="1" operator="equal">
      <formula>"INPUT STARTER IN COLUMN D"</formula>
    </cfRule>
  </conditionalFormatting>
  <conditionalFormatting sqref="P107">
    <cfRule type="cellIs" dxfId="8276" priority="2820" stopIfTrue="1" operator="equal">
      <formula>"INPUT STARTER IN COLUMN D"</formula>
    </cfRule>
  </conditionalFormatting>
  <conditionalFormatting sqref="P108">
    <cfRule type="cellIs" dxfId="8275" priority="2819" stopIfTrue="1" operator="equal">
      <formula>"INPUT STARTER IN COLUMN D"</formula>
    </cfRule>
  </conditionalFormatting>
  <conditionalFormatting sqref="P109">
    <cfRule type="cellIs" dxfId="8274" priority="2818" stopIfTrue="1" operator="equal">
      <formula>"INPUT STARTER IN COLUMN D"</formula>
    </cfRule>
  </conditionalFormatting>
  <conditionalFormatting sqref="P110">
    <cfRule type="cellIs" dxfId="8273" priority="2817" stopIfTrue="1" operator="equal">
      <formula>"INPUT STARTER IN COLUMN D"</formula>
    </cfRule>
  </conditionalFormatting>
  <conditionalFormatting sqref="P111">
    <cfRule type="cellIs" dxfId="8272" priority="2816" stopIfTrue="1" operator="equal">
      <formula>"INPUT STARTER IN COLUMN D"</formula>
    </cfRule>
  </conditionalFormatting>
  <conditionalFormatting sqref="P112">
    <cfRule type="cellIs" dxfId="8271" priority="2815" stopIfTrue="1" operator="equal">
      <formula>"INPUT STARTER IN COLUMN D"</formula>
    </cfRule>
  </conditionalFormatting>
  <conditionalFormatting sqref="P113">
    <cfRule type="cellIs" dxfId="8270" priority="2814" stopIfTrue="1" operator="equal">
      <formula>"INPUT STARTER IN COLUMN D"</formula>
    </cfRule>
  </conditionalFormatting>
  <conditionalFormatting sqref="P114">
    <cfRule type="cellIs" dxfId="8269" priority="2813" stopIfTrue="1" operator="equal">
      <formula>"INPUT STARTER IN COLUMN D"</formula>
    </cfRule>
  </conditionalFormatting>
  <conditionalFormatting sqref="P115">
    <cfRule type="cellIs" dxfId="8268" priority="2812" stopIfTrue="1" operator="equal">
      <formula>"INPUT STARTER IN COLUMN D"</formula>
    </cfRule>
  </conditionalFormatting>
  <conditionalFormatting sqref="P116">
    <cfRule type="cellIs" dxfId="8267" priority="2811" stopIfTrue="1" operator="equal">
      <formula>"INPUT STARTER IN COLUMN D"</formula>
    </cfRule>
  </conditionalFormatting>
  <conditionalFormatting sqref="P117">
    <cfRule type="cellIs" dxfId="8266" priority="2810" stopIfTrue="1" operator="equal">
      <formula>"INPUT STARTER IN COLUMN D"</formula>
    </cfRule>
  </conditionalFormatting>
  <conditionalFormatting sqref="P118">
    <cfRule type="cellIs" dxfId="8265" priority="2809" stopIfTrue="1" operator="equal">
      <formula>"INPUT STARTER IN COLUMN D"</formula>
    </cfRule>
  </conditionalFormatting>
  <conditionalFormatting sqref="P119">
    <cfRule type="cellIs" dxfId="8264" priority="2808" stopIfTrue="1" operator="equal">
      <formula>"INPUT STARTER IN COLUMN D"</formula>
    </cfRule>
  </conditionalFormatting>
  <conditionalFormatting sqref="P120">
    <cfRule type="cellIs" dxfId="8263" priority="2807" stopIfTrue="1" operator="equal">
      <formula>"INPUT STARTER IN COLUMN D"</formula>
    </cfRule>
  </conditionalFormatting>
  <conditionalFormatting sqref="P121">
    <cfRule type="cellIs" dxfId="8262" priority="2806" stopIfTrue="1" operator="equal">
      <formula>"INPUT STARTER IN COLUMN D"</formula>
    </cfRule>
  </conditionalFormatting>
  <conditionalFormatting sqref="P122">
    <cfRule type="cellIs" dxfId="8261" priority="2805" stopIfTrue="1" operator="equal">
      <formula>"INPUT STARTER IN COLUMN D"</formula>
    </cfRule>
  </conditionalFormatting>
  <conditionalFormatting sqref="P123">
    <cfRule type="cellIs" dxfId="8260" priority="2804" stopIfTrue="1" operator="equal">
      <formula>"INPUT STARTER IN COLUMN D"</formula>
    </cfRule>
  </conditionalFormatting>
  <conditionalFormatting sqref="P125">
    <cfRule type="cellIs" dxfId="8259" priority="2803" stopIfTrue="1" operator="equal">
      <formula>"INPUT STARTER IN COLUMN D"</formula>
    </cfRule>
  </conditionalFormatting>
  <conditionalFormatting sqref="P126">
    <cfRule type="cellIs" dxfId="8258" priority="2802" stopIfTrue="1" operator="equal">
      <formula>"INPUT STARTER IN COLUMN D"</formula>
    </cfRule>
  </conditionalFormatting>
  <conditionalFormatting sqref="P127">
    <cfRule type="cellIs" dxfId="8257" priority="2801" stopIfTrue="1" operator="equal">
      <formula>"INPUT STARTER IN COLUMN D"</formula>
    </cfRule>
  </conditionalFormatting>
  <conditionalFormatting sqref="P128">
    <cfRule type="cellIs" dxfId="8256" priority="2800" stopIfTrue="1" operator="equal">
      <formula>"INPUT STARTER IN COLUMN D"</formula>
    </cfRule>
  </conditionalFormatting>
  <conditionalFormatting sqref="P129">
    <cfRule type="cellIs" dxfId="8255" priority="2799" stopIfTrue="1" operator="equal">
      <formula>"INPUT STARTER IN COLUMN D"</formula>
    </cfRule>
  </conditionalFormatting>
  <conditionalFormatting sqref="P130">
    <cfRule type="cellIs" dxfId="8254" priority="2798" stopIfTrue="1" operator="equal">
      <formula>"INPUT STARTER IN COLUMN D"</formula>
    </cfRule>
  </conditionalFormatting>
  <conditionalFormatting sqref="P131">
    <cfRule type="cellIs" dxfId="8253" priority="2797" stopIfTrue="1" operator="equal">
      <formula>"INPUT STARTER IN COLUMN D"</formula>
    </cfRule>
  </conditionalFormatting>
  <conditionalFormatting sqref="P132">
    <cfRule type="cellIs" dxfId="8252" priority="2796" stopIfTrue="1" operator="equal">
      <formula>"INPUT STARTER IN COLUMN D"</formula>
    </cfRule>
  </conditionalFormatting>
  <conditionalFormatting sqref="P133">
    <cfRule type="cellIs" dxfId="8251" priority="2795" stopIfTrue="1" operator="equal">
      <formula>"INPUT STARTER IN COLUMN D"</formula>
    </cfRule>
  </conditionalFormatting>
  <conditionalFormatting sqref="P134">
    <cfRule type="cellIs" dxfId="8250" priority="2794" stopIfTrue="1" operator="equal">
      <formula>"INPUT STARTER IN COLUMN D"</formula>
    </cfRule>
  </conditionalFormatting>
  <conditionalFormatting sqref="P135">
    <cfRule type="cellIs" dxfId="8249" priority="2793" stopIfTrue="1" operator="equal">
      <formula>"INPUT STARTER IN COLUMN D"</formula>
    </cfRule>
  </conditionalFormatting>
  <conditionalFormatting sqref="P136">
    <cfRule type="cellIs" dxfId="8248" priority="2792" stopIfTrue="1" operator="equal">
      <formula>"INPUT STARTER IN COLUMN D"</formula>
    </cfRule>
  </conditionalFormatting>
  <conditionalFormatting sqref="P137">
    <cfRule type="cellIs" dxfId="8247" priority="2791" stopIfTrue="1" operator="equal">
      <formula>"INPUT STARTER IN COLUMN D"</formula>
    </cfRule>
  </conditionalFormatting>
  <conditionalFormatting sqref="P139">
    <cfRule type="cellIs" dxfId="8246" priority="2790" stopIfTrue="1" operator="equal">
      <formula>"INPUT STARTER IN COLUMN D"</formula>
    </cfRule>
  </conditionalFormatting>
  <conditionalFormatting sqref="P140">
    <cfRule type="cellIs" dxfId="8245" priority="2789" stopIfTrue="1" operator="equal">
      <formula>"INPUT STARTER IN COLUMN D"</formula>
    </cfRule>
  </conditionalFormatting>
  <conditionalFormatting sqref="P141">
    <cfRule type="cellIs" dxfId="8244" priority="2788" stopIfTrue="1" operator="equal">
      <formula>"INPUT STARTER IN COLUMN D"</formula>
    </cfRule>
  </conditionalFormatting>
  <conditionalFormatting sqref="P142">
    <cfRule type="cellIs" dxfId="8243" priority="2787" stopIfTrue="1" operator="equal">
      <formula>"INPUT STARTER IN COLUMN D"</formula>
    </cfRule>
  </conditionalFormatting>
  <conditionalFormatting sqref="P143">
    <cfRule type="cellIs" dxfId="8242" priority="2786" stopIfTrue="1" operator="equal">
      <formula>"INPUT STARTER IN COLUMN D"</formula>
    </cfRule>
  </conditionalFormatting>
  <conditionalFormatting sqref="P144">
    <cfRule type="cellIs" dxfId="8241" priority="2785" stopIfTrue="1" operator="equal">
      <formula>"INPUT STARTER IN COLUMN D"</formula>
    </cfRule>
  </conditionalFormatting>
  <conditionalFormatting sqref="P145">
    <cfRule type="cellIs" dxfId="8240" priority="2784" stopIfTrue="1" operator="equal">
      <formula>"INPUT STARTER IN COLUMN D"</formula>
    </cfRule>
  </conditionalFormatting>
  <conditionalFormatting sqref="P146">
    <cfRule type="cellIs" dxfId="8239" priority="2783" stopIfTrue="1" operator="equal">
      <formula>"INPUT STARTER IN COLUMN D"</formula>
    </cfRule>
  </conditionalFormatting>
  <conditionalFormatting sqref="P147">
    <cfRule type="cellIs" dxfId="8238" priority="2782" stopIfTrue="1" operator="equal">
      <formula>"INPUT STARTER IN COLUMN D"</formula>
    </cfRule>
  </conditionalFormatting>
  <conditionalFormatting sqref="P148">
    <cfRule type="cellIs" dxfId="8237" priority="2781" stopIfTrue="1" operator="equal">
      <formula>"INPUT STARTER IN COLUMN D"</formula>
    </cfRule>
  </conditionalFormatting>
  <conditionalFormatting sqref="P149">
    <cfRule type="cellIs" dxfId="8236" priority="2780" stopIfTrue="1" operator="equal">
      <formula>"INPUT STARTER IN COLUMN D"</formula>
    </cfRule>
  </conditionalFormatting>
  <conditionalFormatting sqref="P150">
    <cfRule type="cellIs" dxfId="8235" priority="2779" stopIfTrue="1" operator="equal">
      <formula>"INPUT STARTER IN COLUMN D"</formula>
    </cfRule>
  </conditionalFormatting>
  <conditionalFormatting sqref="P151">
    <cfRule type="cellIs" dxfId="8234" priority="2778" stopIfTrue="1" operator="equal">
      <formula>"INPUT STARTER IN COLUMN D"</formula>
    </cfRule>
  </conditionalFormatting>
  <conditionalFormatting sqref="P152">
    <cfRule type="cellIs" dxfId="8233" priority="2777" stopIfTrue="1" operator="equal">
      <formula>"INPUT STARTER IN COLUMN D"</formula>
    </cfRule>
  </conditionalFormatting>
  <conditionalFormatting sqref="P153">
    <cfRule type="cellIs" dxfId="8232" priority="2776" stopIfTrue="1" operator="equal">
      <formula>"INPUT STARTER IN COLUMN D"</formula>
    </cfRule>
  </conditionalFormatting>
  <conditionalFormatting sqref="P154">
    <cfRule type="cellIs" dxfId="8231" priority="2775" stopIfTrue="1" operator="equal">
      <formula>"INPUT STARTER IN COLUMN D"</formula>
    </cfRule>
  </conditionalFormatting>
  <conditionalFormatting sqref="P155">
    <cfRule type="cellIs" dxfId="8230" priority="2774" stopIfTrue="1" operator="equal">
      <formula>"INPUT STARTER IN COLUMN D"</formula>
    </cfRule>
  </conditionalFormatting>
  <conditionalFormatting sqref="P157">
    <cfRule type="cellIs" dxfId="8229" priority="2773" stopIfTrue="1" operator="equal">
      <formula>"INPUT STARTER IN COLUMN D"</formula>
    </cfRule>
  </conditionalFormatting>
  <conditionalFormatting sqref="P158">
    <cfRule type="cellIs" dxfId="8228" priority="2772" stopIfTrue="1" operator="equal">
      <formula>"INPUT STARTER IN COLUMN D"</formula>
    </cfRule>
  </conditionalFormatting>
  <conditionalFormatting sqref="P159">
    <cfRule type="cellIs" dxfId="8227" priority="2771" stopIfTrue="1" operator="equal">
      <formula>"INPUT STARTER IN COLUMN D"</formula>
    </cfRule>
  </conditionalFormatting>
  <conditionalFormatting sqref="P160">
    <cfRule type="cellIs" dxfId="8226" priority="2770" stopIfTrue="1" operator="equal">
      <formula>"INPUT STARTER IN COLUMN D"</formula>
    </cfRule>
  </conditionalFormatting>
  <conditionalFormatting sqref="P161">
    <cfRule type="cellIs" dxfId="8225" priority="2769" stopIfTrue="1" operator="equal">
      <formula>"INPUT STARTER IN COLUMN D"</formula>
    </cfRule>
  </conditionalFormatting>
  <conditionalFormatting sqref="P162">
    <cfRule type="cellIs" dxfId="8224" priority="2768" stopIfTrue="1" operator="equal">
      <formula>"INPUT STARTER IN COLUMN D"</formula>
    </cfRule>
  </conditionalFormatting>
  <conditionalFormatting sqref="P163">
    <cfRule type="cellIs" dxfId="8223" priority="2767" stopIfTrue="1" operator="equal">
      <formula>"INPUT STARTER IN COLUMN D"</formula>
    </cfRule>
  </conditionalFormatting>
  <conditionalFormatting sqref="P165">
    <cfRule type="cellIs" dxfId="8222" priority="2766" stopIfTrue="1" operator="equal">
      <formula>"INPUT STARTER IN COLUMN D"</formula>
    </cfRule>
  </conditionalFormatting>
  <conditionalFormatting sqref="P166">
    <cfRule type="cellIs" dxfId="8221" priority="2765" stopIfTrue="1" operator="equal">
      <formula>"INPUT STARTER IN COLUMN D"</formula>
    </cfRule>
  </conditionalFormatting>
  <conditionalFormatting sqref="P167">
    <cfRule type="cellIs" dxfId="8220" priority="2764" stopIfTrue="1" operator="equal">
      <formula>"INPUT STARTER IN COLUMN D"</formula>
    </cfRule>
  </conditionalFormatting>
  <conditionalFormatting sqref="P168">
    <cfRule type="cellIs" dxfId="8219" priority="2763" stopIfTrue="1" operator="equal">
      <formula>"INPUT STARTER IN COLUMN D"</formula>
    </cfRule>
  </conditionalFormatting>
  <conditionalFormatting sqref="P169">
    <cfRule type="cellIs" dxfId="8218" priority="2762" stopIfTrue="1" operator="equal">
      <formula>"INPUT STARTER IN COLUMN D"</formula>
    </cfRule>
  </conditionalFormatting>
  <conditionalFormatting sqref="P170">
    <cfRule type="cellIs" dxfId="8217" priority="2761" stopIfTrue="1" operator="equal">
      <formula>"INPUT STARTER IN COLUMN D"</formula>
    </cfRule>
  </conditionalFormatting>
  <conditionalFormatting sqref="P171">
    <cfRule type="cellIs" dxfId="8216" priority="2760" stopIfTrue="1" operator="equal">
      <formula>"INPUT STARTER IN COLUMN D"</formula>
    </cfRule>
  </conditionalFormatting>
  <conditionalFormatting sqref="P172">
    <cfRule type="cellIs" dxfId="8215" priority="2759" stopIfTrue="1" operator="equal">
      <formula>"INPUT STARTER IN COLUMN D"</formula>
    </cfRule>
  </conditionalFormatting>
  <conditionalFormatting sqref="P173">
    <cfRule type="cellIs" dxfId="8214" priority="2758" stopIfTrue="1" operator="equal">
      <formula>"INPUT STARTER IN COLUMN D"</formula>
    </cfRule>
  </conditionalFormatting>
  <conditionalFormatting sqref="P174">
    <cfRule type="cellIs" dxfId="8213" priority="2757" stopIfTrue="1" operator="equal">
      <formula>"INPUT STARTER IN COLUMN D"</formula>
    </cfRule>
  </conditionalFormatting>
  <conditionalFormatting sqref="P176">
    <cfRule type="cellIs" dxfId="8212" priority="2756" stopIfTrue="1" operator="equal">
      <formula>"INPUT STARTER IN COLUMN D"</formula>
    </cfRule>
  </conditionalFormatting>
  <conditionalFormatting sqref="P177">
    <cfRule type="cellIs" dxfId="8211" priority="2755" stopIfTrue="1" operator="equal">
      <formula>"INPUT STARTER IN COLUMN D"</formula>
    </cfRule>
  </conditionalFormatting>
  <conditionalFormatting sqref="P178">
    <cfRule type="cellIs" dxfId="8210" priority="2754" stopIfTrue="1" operator="equal">
      <formula>"INPUT STARTER IN COLUMN D"</formula>
    </cfRule>
  </conditionalFormatting>
  <conditionalFormatting sqref="P179">
    <cfRule type="cellIs" dxfId="8209" priority="2753" stopIfTrue="1" operator="equal">
      <formula>"INPUT STARTER IN COLUMN D"</formula>
    </cfRule>
  </conditionalFormatting>
  <conditionalFormatting sqref="P180">
    <cfRule type="cellIs" dxfId="8208" priority="2752" stopIfTrue="1" operator="equal">
      <formula>"INPUT STARTER IN COLUMN D"</formula>
    </cfRule>
  </conditionalFormatting>
  <conditionalFormatting sqref="P181">
    <cfRule type="cellIs" dxfId="8207" priority="2751" stopIfTrue="1" operator="equal">
      <formula>"INPUT STARTER IN COLUMN D"</formula>
    </cfRule>
  </conditionalFormatting>
  <conditionalFormatting sqref="P182">
    <cfRule type="cellIs" dxfId="8206" priority="2750" stopIfTrue="1" operator="equal">
      <formula>"INPUT STARTER IN COLUMN D"</formula>
    </cfRule>
  </conditionalFormatting>
  <conditionalFormatting sqref="P183">
    <cfRule type="cellIs" dxfId="8205" priority="2749" stopIfTrue="1" operator="equal">
      <formula>"INPUT STARTER IN COLUMN D"</formula>
    </cfRule>
  </conditionalFormatting>
  <conditionalFormatting sqref="P184">
    <cfRule type="cellIs" dxfId="8204" priority="2748" stopIfTrue="1" operator="equal">
      <formula>"INPUT STARTER IN COLUMN D"</formula>
    </cfRule>
  </conditionalFormatting>
  <conditionalFormatting sqref="P185">
    <cfRule type="cellIs" dxfId="8203" priority="2747" stopIfTrue="1" operator="equal">
      <formula>"INPUT STARTER IN COLUMN D"</formula>
    </cfRule>
  </conditionalFormatting>
  <conditionalFormatting sqref="AG3:AG22">
    <cfRule type="cellIs" dxfId="8202" priority="2746" stopIfTrue="1" operator="equal">
      <formula>"must average at least 5 innings per start"</formula>
    </cfRule>
  </conditionalFormatting>
  <conditionalFormatting sqref="AG23">
    <cfRule type="cellIs" dxfId="8201" priority="2745" stopIfTrue="1" operator="equal">
      <formula>"must have 162 starts"</formula>
    </cfRule>
  </conditionalFormatting>
  <conditionalFormatting sqref="AK3:AK22">
    <cfRule type="cellIs" dxfId="8200" priority="2744" stopIfTrue="1" operator="equal">
      <formula>"must average at least 5 innings per start"</formula>
    </cfRule>
  </conditionalFormatting>
  <conditionalFormatting sqref="AK23">
    <cfRule type="cellIs" dxfId="8199" priority="2743" stopIfTrue="1" operator="equal">
      <formula>"must have 162 starts"</formula>
    </cfRule>
  </conditionalFormatting>
  <conditionalFormatting sqref="AK3:AK22">
    <cfRule type="cellIs" dxfId="8198" priority="2742" stopIfTrue="1" operator="equal">
      <formula>"must average at least 5 innings per start"</formula>
    </cfRule>
  </conditionalFormatting>
  <conditionalFormatting sqref="AK23">
    <cfRule type="cellIs" dxfId="8197" priority="2741" stopIfTrue="1" operator="equal">
      <formula>"must have 162 starts"</formula>
    </cfRule>
  </conditionalFormatting>
  <conditionalFormatting sqref="AK3:AK22">
    <cfRule type="cellIs" dxfId="8196" priority="2740" stopIfTrue="1" operator="equal">
      <formula>"must average at least 5 innings per start"</formula>
    </cfRule>
  </conditionalFormatting>
  <conditionalFormatting sqref="AK23">
    <cfRule type="cellIs" dxfId="8195" priority="2739" stopIfTrue="1" operator="equal">
      <formula>"must have 162 starts"</formula>
    </cfRule>
  </conditionalFormatting>
  <conditionalFormatting sqref="AK3:AK22">
    <cfRule type="cellIs" dxfId="8194" priority="2738" stopIfTrue="1" operator="equal">
      <formula>"must average at least 5 innings per start"</formula>
    </cfRule>
  </conditionalFormatting>
  <conditionalFormatting sqref="AK23">
    <cfRule type="cellIs" dxfId="8193" priority="2737" stopIfTrue="1" operator="equal">
      <formula>"must have 162 starts"</formula>
    </cfRule>
  </conditionalFormatting>
  <conditionalFormatting sqref="AK3:AK22">
    <cfRule type="cellIs" dxfId="8192" priority="2736" stopIfTrue="1" operator="equal">
      <formula>"must average at least 5 innings per start"</formula>
    </cfRule>
  </conditionalFormatting>
  <conditionalFormatting sqref="AK23">
    <cfRule type="cellIs" dxfId="8191" priority="2735" stopIfTrue="1" operator="equal">
      <formula>"must have 162 starts"</formula>
    </cfRule>
  </conditionalFormatting>
  <conditionalFormatting sqref="AK3:AK22">
    <cfRule type="cellIs" dxfId="8190" priority="2734" stopIfTrue="1" operator="equal">
      <formula>"must average at least 5 innings per start"</formula>
    </cfRule>
  </conditionalFormatting>
  <conditionalFormatting sqref="AK23">
    <cfRule type="cellIs" dxfId="8189" priority="2733" stopIfTrue="1" operator="equal">
      <formula>"must have 162 starts"</formula>
    </cfRule>
  </conditionalFormatting>
  <conditionalFormatting sqref="AK3:AK22">
    <cfRule type="cellIs" dxfId="8188" priority="2732" stopIfTrue="1" operator="equal">
      <formula>"must average at least 5 innings per start"</formula>
    </cfRule>
  </conditionalFormatting>
  <conditionalFormatting sqref="AK23">
    <cfRule type="cellIs" dxfId="8187" priority="2731" stopIfTrue="1" operator="equal">
      <formula>"must have 162 starts"</formula>
    </cfRule>
  </conditionalFormatting>
  <conditionalFormatting sqref="AH3:AH22">
    <cfRule type="cellIs" dxfId="8186" priority="2730" stopIfTrue="1" operator="equal">
      <formula>"must average at least 5 innings per start"</formula>
    </cfRule>
  </conditionalFormatting>
  <conditionalFormatting sqref="AH23">
    <cfRule type="cellIs" dxfId="8185" priority="2729" stopIfTrue="1" operator="equal">
      <formula>"must have 162 starts"</formula>
    </cfRule>
  </conditionalFormatting>
  <conditionalFormatting sqref="AG3:AG22">
    <cfRule type="cellIs" dxfId="8184" priority="2728" stopIfTrue="1" operator="equal">
      <formula>"must average at least 5 innings per start"</formula>
    </cfRule>
  </conditionalFormatting>
  <conditionalFormatting sqref="AG23">
    <cfRule type="cellIs" dxfId="8183" priority="2727" stopIfTrue="1" operator="equal">
      <formula>"must have 162 starts"</formula>
    </cfRule>
  </conditionalFormatting>
  <conditionalFormatting sqref="AK3:AK22">
    <cfRule type="cellIs" dxfId="8182" priority="2726" stopIfTrue="1" operator="equal">
      <formula>"must average at least 5 innings per start"</formula>
    </cfRule>
  </conditionalFormatting>
  <conditionalFormatting sqref="AK23">
    <cfRule type="cellIs" dxfId="8181" priority="2725" stopIfTrue="1" operator="equal">
      <formula>"must have 162 starts"</formula>
    </cfRule>
  </conditionalFormatting>
  <conditionalFormatting sqref="AK3:AK22">
    <cfRule type="cellIs" dxfId="8180" priority="2724" stopIfTrue="1" operator="equal">
      <formula>"must average at least 5 innings per start"</formula>
    </cfRule>
  </conditionalFormatting>
  <conditionalFormatting sqref="AK23">
    <cfRule type="cellIs" dxfId="8179" priority="2723" stopIfTrue="1" operator="equal">
      <formula>"must have 162 starts"</formula>
    </cfRule>
  </conditionalFormatting>
  <conditionalFormatting sqref="AK3:AK22">
    <cfRule type="cellIs" dxfId="8178" priority="2722" stopIfTrue="1" operator="equal">
      <formula>"must average at least 5 innings per start"</formula>
    </cfRule>
  </conditionalFormatting>
  <conditionalFormatting sqref="AK23">
    <cfRule type="cellIs" dxfId="8177" priority="2721" stopIfTrue="1" operator="equal">
      <formula>"must have 162 starts"</formula>
    </cfRule>
  </conditionalFormatting>
  <conditionalFormatting sqref="AK3:AK22">
    <cfRule type="cellIs" dxfId="8176" priority="2720" stopIfTrue="1" operator="equal">
      <formula>"must average at least 5 innings per start"</formula>
    </cfRule>
  </conditionalFormatting>
  <conditionalFormatting sqref="AK23">
    <cfRule type="cellIs" dxfId="8175" priority="2719" stopIfTrue="1" operator="equal">
      <formula>"must have 162 starts"</formula>
    </cfRule>
  </conditionalFormatting>
  <conditionalFormatting sqref="AK3:AK22">
    <cfRule type="cellIs" dxfId="8174" priority="2718" stopIfTrue="1" operator="equal">
      <formula>"must average at least 5 innings per start"</formula>
    </cfRule>
  </conditionalFormatting>
  <conditionalFormatting sqref="AK23">
    <cfRule type="cellIs" dxfId="8173" priority="2717" stopIfTrue="1" operator="equal">
      <formula>"must have 162 starts"</formula>
    </cfRule>
  </conditionalFormatting>
  <conditionalFormatting sqref="AK3:AK22">
    <cfRule type="cellIs" dxfId="8172" priority="2716" stopIfTrue="1" operator="equal">
      <formula>"must average at least 5 innings per start"</formula>
    </cfRule>
  </conditionalFormatting>
  <conditionalFormatting sqref="AK23">
    <cfRule type="cellIs" dxfId="8171" priority="2715" stopIfTrue="1" operator="equal">
      <formula>"must have 162 starts"</formula>
    </cfRule>
  </conditionalFormatting>
  <conditionalFormatting sqref="AK3:AK22">
    <cfRule type="cellIs" dxfId="8170" priority="2714" stopIfTrue="1" operator="equal">
      <formula>"must average at least 5 innings per start"</formula>
    </cfRule>
  </conditionalFormatting>
  <conditionalFormatting sqref="AK23">
    <cfRule type="cellIs" dxfId="8169" priority="2713" stopIfTrue="1" operator="equal">
      <formula>"must have 162 starts"</formula>
    </cfRule>
  </conditionalFormatting>
  <conditionalFormatting sqref="AK3:AK22">
    <cfRule type="cellIs" dxfId="8168" priority="2712" stopIfTrue="1" operator="equal">
      <formula>"must average at least 5 innings per start"</formula>
    </cfRule>
  </conditionalFormatting>
  <conditionalFormatting sqref="AK23">
    <cfRule type="cellIs" dxfId="8167" priority="2711" stopIfTrue="1" operator="equal">
      <formula>"must have 162 starts"</formula>
    </cfRule>
  </conditionalFormatting>
  <conditionalFormatting sqref="AG3:AG22">
    <cfRule type="cellIs" dxfId="8166" priority="2710" stopIfTrue="1" operator="equal">
      <formula>"must average at least 5 innings per start"</formula>
    </cfRule>
  </conditionalFormatting>
  <conditionalFormatting sqref="AG23">
    <cfRule type="cellIs" dxfId="8165" priority="2709" stopIfTrue="1" operator="equal">
      <formula>"must have 162 starts"</formula>
    </cfRule>
  </conditionalFormatting>
  <conditionalFormatting sqref="AK3:AK22">
    <cfRule type="cellIs" dxfId="8164" priority="2708" stopIfTrue="1" operator="equal">
      <formula>"must average at least 5 innings per start"</formula>
    </cfRule>
  </conditionalFormatting>
  <conditionalFormatting sqref="AK23">
    <cfRule type="cellIs" dxfId="8163" priority="2707" stopIfTrue="1" operator="equal">
      <formula>"must have 162 starts"</formula>
    </cfRule>
  </conditionalFormatting>
  <conditionalFormatting sqref="AK3:AK22">
    <cfRule type="cellIs" dxfId="8162" priority="2706" stopIfTrue="1" operator="equal">
      <formula>"must average at least 5 innings per start"</formula>
    </cfRule>
  </conditionalFormatting>
  <conditionalFormatting sqref="AK23">
    <cfRule type="cellIs" dxfId="8161" priority="2705" stopIfTrue="1" operator="equal">
      <formula>"must have 162 starts"</formula>
    </cfRule>
  </conditionalFormatting>
  <conditionalFormatting sqref="AK3:AK22">
    <cfRule type="cellIs" dxfId="8160" priority="2704" stopIfTrue="1" operator="equal">
      <formula>"must average at least 5 innings per start"</formula>
    </cfRule>
  </conditionalFormatting>
  <conditionalFormatting sqref="AK23">
    <cfRule type="cellIs" dxfId="8159" priority="2703" stopIfTrue="1" operator="equal">
      <formula>"must have 162 starts"</formula>
    </cfRule>
  </conditionalFormatting>
  <conditionalFormatting sqref="AK3:AK22">
    <cfRule type="cellIs" dxfId="8158" priority="2702" stopIfTrue="1" operator="equal">
      <formula>"must average at least 5 innings per start"</formula>
    </cfRule>
  </conditionalFormatting>
  <conditionalFormatting sqref="AK23">
    <cfRule type="cellIs" dxfId="8157" priority="2701" stopIfTrue="1" operator="equal">
      <formula>"must have 162 starts"</formula>
    </cfRule>
  </conditionalFormatting>
  <conditionalFormatting sqref="AK3:AK22">
    <cfRule type="cellIs" dxfId="8156" priority="2700" stopIfTrue="1" operator="equal">
      <formula>"must average at least 5 innings per start"</formula>
    </cfRule>
  </conditionalFormatting>
  <conditionalFormatting sqref="AK23">
    <cfRule type="cellIs" dxfId="8155" priority="2699" stopIfTrue="1" operator="equal">
      <formula>"must have 162 starts"</formula>
    </cfRule>
  </conditionalFormatting>
  <conditionalFormatting sqref="AK3:AK22">
    <cfRule type="cellIs" dxfId="8154" priority="2698" stopIfTrue="1" operator="equal">
      <formula>"must average at least 5 innings per start"</formula>
    </cfRule>
  </conditionalFormatting>
  <conditionalFormatting sqref="AK23">
    <cfRule type="cellIs" dxfId="8153" priority="2697" stopIfTrue="1" operator="equal">
      <formula>"must have 162 starts"</formula>
    </cfRule>
  </conditionalFormatting>
  <conditionalFormatting sqref="AK3:AK22">
    <cfRule type="cellIs" dxfId="8152" priority="2696" stopIfTrue="1" operator="equal">
      <formula>"must average at least 5 innings per start"</formula>
    </cfRule>
  </conditionalFormatting>
  <conditionalFormatting sqref="AK23">
    <cfRule type="cellIs" dxfId="8151" priority="2695" stopIfTrue="1" operator="equal">
      <formula>"must have 162 starts"</formula>
    </cfRule>
  </conditionalFormatting>
  <conditionalFormatting sqref="AG3:AG22">
    <cfRule type="cellIs" dxfId="8150" priority="2694" stopIfTrue="1" operator="equal">
      <formula>"must average at least 5 innings per start"</formula>
    </cfRule>
  </conditionalFormatting>
  <conditionalFormatting sqref="AG23">
    <cfRule type="cellIs" dxfId="8149" priority="2693" stopIfTrue="1" operator="equal">
      <formula>"must have 162 starts"</formula>
    </cfRule>
  </conditionalFormatting>
  <conditionalFormatting sqref="AK3:AK22">
    <cfRule type="cellIs" dxfId="8148" priority="2692" stopIfTrue="1" operator="equal">
      <formula>"must average at least 5 innings per start"</formula>
    </cfRule>
  </conditionalFormatting>
  <conditionalFormatting sqref="AK23">
    <cfRule type="cellIs" dxfId="8147" priority="2691" stopIfTrue="1" operator="equal">
      <formula>"must have 162 starts"</formula>
    </cfRule>
  </conditionalFormatting>
  <conditionalFormatting sqref="AK3:AK22">
    <cfRule type="cellIs" dxfId="8146" priority="2690" stopIfTrue="1" operator="equal">
      <formula>"must average at least 5 innings per start"</formula>
    </cfRule>
  </conditionalFormatting>
  <conditionalFormatting sqref="AK23">
    <cfRule type="cellIs" dxfId="8145" priority="2689" stopIfTrue="1" operator="equal">
      <formula>"must have 162 starts"</formula>
    </cfRule>
  </conditionalFormatting>
  <conditionalFormatting sqref="AK3:AK22">
    <cfRule type="cellIs" dxfId="8144" priority="2688" stopIfTrue="1" operator="equal">
      <formula>"must average at least 5 innings per start"</formula>
    </cfRule>
  </conditionalFormatting>
  <conditionalFormatting sqref="AK23">
    <cfRule type="cellIs" dxfId="8143" priority="2687" stopIfTrue="1" operator="equal">
      <formula>"must have 162 starts"</formula>
    </cfRule>
  </conditionalFormatting>
  <conditionalFormatting sqref="AK3:AK22">
    <cfRule type="cellIs" dxfId="8142" priority="2686" stopIfTrue="1" operator="equal">
      <formula>"must average at least 5 innings per start"</formula>
    </cfRule>
  </conditionalFormatting>
  <conditionalFormatting sqref="AK23">
    <cfRule type="cellIs" dxfId="8141" priority="2685" stopIfTrue="1" operator="equal">
      <formula>"must have 162 starts"</formula>
    </cfRule>
  </conditionalFormatting>
  <conditionalFormatting sqref="AK3:AK22">
    <cfRule type="cellIs" dxfId="8140" priority="2684" stopIfTrue="1" operator="equal">
      <formula>"must average at least 5 innings per start"</formula>
    </cfRule>
  </conditionalFormatting>
  <conditionalFormatting sqref="AK23">
    <cfRule type="cellIs" dxfId="8139" priority="2683" stopIfTrue="1" operator="equal">
      <formula>"must have 162 starts"</formula>
    </cfRule>
  </conditionalFormatting>
  <conditionalFormatting sqref="AK3:AK22">
    <cfRule type="cellIs" dxfId="8138" priority="2682" stopIfTrue="1" operator="equal">
      <formula>"must average at least 5 innings per start"</formula>
    </cfRule>
  </conditionalFormatting>
  <conditionalFormatting sqref="AK23">
    <cfRule type="cellIs" dxfId="8137" priority="2681" stopIfTrue="1" operator="equal">
      <formula>"must have 162 starts"</formula>
    </cfRule>
  </conditionalFormatting>
  <conditionalFormatting sqref="AG3:AG22">
    <cfRule type="cellIs" dxfId="8136" priority="2680" stopIfTrue="1" operator="equal">
      <formula>"must average at least 5 innings per start"</formula>
    </cfRule>
  </conditionalFormatting>
  <conditionalFormatting sqref="AG23">
    <cfRule type="cellIs" dxfId="8135" priority="2679" stopIfTrue="1" operator="equal">
      <formula>"must have 162 starts"</formula>
    </cfRule>
  </conditionalFormatting>
  <conditionalFormatting sqref="AK3:AK22">
    <cfRule type="cellIs" dxfId="8134" priority="2678" stopIfTrue="1" operator="equal">
      <formula>"must average at least 5 innings per start"</formula>
    </cfRule>
  </conditionalFormatting>
  <conditionalFormatting sqref="AK23">
    <cfRule type="cellIs" dxfId="8133" priority="2677" stopIfTrue="1" operator="equal">
      <formula>"must have 162 starts"</formula>
    </cfRule>
  </conditionalFormatting>
  <conditionalFormatting sqref="AK3:AK22">
    <cfRule type="cellIs" dxfId="8132" priority="2676" stopIfTrue="1" operator="equal">
      <formula>"must average at least 5 innings per start"</formula>
    </cfRule>
  </conditionalFormatting>
  <conditionalFormatting sqref="AK23">
    <cfRule type="cellIs" dxfId="8131" priority="2675" stopIfTrue="1" operator="equal">
      <formula>"must have 162 starts"</formula>
    </cfRule>
  </conditionalFormatting>
  <conditionalFormatting sqref="AK3:AK22">
    <cfRule type="cellIs" dxfId="8130" priority="2674" stopIfTrue="1" operator="equal">
      <formula>"must average at least 5 innings per start"</formula>
    </cfRule>
  </conditionalFormatting>
  <conditionalFormatting sqref="AK23">
    <cfRule type="cellIs" dxfId="8129" priority="2673" stopIfTrue="1" operator="equal">
      <formula>"must have 162 starts"</formula>
    </cfRule>
  </conditionalFormatting>
  <conditionalFormatting sqref="AK3:AK22">
    <cfRule type="cellIs" dxfId="8128" priority="2672" stopIfTrue="1" operator="equal">
      <formula>"must average at least 5 innings per start"</formula>
    </cfRule>
  </conditionalFormatting>
  <conditionalFormatting sqref="AK23">
    <cfRule type="cellIs" dxfId="8127" priority="2671" stopIfTrue="1" operator="equal">
      <formula>"must have 162 starts"</formula>
    </cfRule>
  </conditionalFormatting>
  <conditionalFormatting sqref="AK3:AK22">
    <cfRule type="cellIs" dxfId="8126" priority="2670" stopIfTrue="1" operator="equal">
      <formula>"must average at least 5 innings per start"</formula>
    </cfRule>
  </conditionalFormatting>
  <conditionalFormatting sqref="AK23">
    <cfRule type="cellIs" dxfId="8125" priority="2669" stopIfTrue="1" operator="equal">
      <formula>"must have 162 starts"</formula>
    </cfRule>
  </conditionalFormatting>
  <conditionalFormatting sqref="AG3:AG22">
    <cfRule type="cellIs" dxfId="8124" priority="2668" stopIfTrue="1" operator="equal">
      <formula>"must average at least 5 innings per start"</formula>
    </cfRule>
  </conditionalFormatting>
  <conditionalFormatting sqref="AG23">
    <cfRule type="cellIs" dxfId="8123" priority="2667" stopIfTrue="1" operator="equal">
      <formula>"must have 162 starts"</formula>
    </cfRule>
  </conditionalFormatting>
  <conditionalFormatting sqref="AK3:AK22">
    <cfRule type="cellIs" dxfId="8122" priority="2666" stopIfTrue="1" operator="equal">
      <formula>"must average at least 5 innings per start"</formula>
    </cfRule>
  </conditionalFormatting>
  <conditionalFormatting sqref="AK23">
    <cfRule type="cellIs" dxfId="8121" priority="2665" stopIfTrue="1" operator="equal">
      <formula>"must have 162 starts"</formula>
    </cfRule>
  </conditionalFormatting>
  <conditionalFormatting sqref="AK3:AK22">
    <cfRule type="cellIs" dxfId="8120" priority="2664" stopIfTrue="1" operator="equal">
      <formula>"must average at least 5 innings per start"</formula>
    </cfRule>
  </conditionalFormatting>
  <conditionalFormatting sqref="AK23">
    <cfRule type="cellIs" dxfId="8119" priority="2663" stopIfTrue="1" operator="equal">
      <formula>"must have 162 starts"</formula>
    </cfRule>
  </conditionalFormatting>
  <conditionalFormatting sqref="AK3:AK22">
    <cfRule type="cellIs" dxfId="8118" priority="2662" stopIfTrue="1" operator="equal">
      <formula>"must average at least 5 innings per start"</formula>
    </cfRule>
  </conditionalFormatting>
  <conditionalFormatting sqref="AK23">
    <cfRule type="cellIs" dxfId="8117" priority="2661" stopIfTrue="1" operator="equal">
      <formula>"must have 162 starts"</formula>
    </cfRule>
  </conditionalFormatting>
  <conditionalFormatting sqref="AK3:AK22">
    <cfRule type="cellIs" dxfId="8116" priority="2660" stopIfTrue="1" operator="equal">
      <formula>"must average at least 5 innings per start"</formula>
    </cfRule>
  </conditionalFormatting>
  <conditionalFormatting sqref="AK23">
    <cfRule type="cellIs" dxfId="8115" priority="2659" stopIfTrue="1" operator="equal">
      <formula>"must have 162 starts"</formula>
    </cfRule>
  </conditionalFormatting>
  <conditionalFormatting sqref="AG3:AG22">
    <cfRule type="cellIs" dxfId="8114" priority="2658" stopIfTrue="1" operator="equal">
      <formula>"must average at least 5 innings per start"</formula>
    </cfRule>
  </conditionalFormatting>
  <conditionalFormatting sqref="AG23">
    <cfRule type="cellIs" dxfId="8113" priority="2657" stopIfTrue="1" operator="equal">
      <formula>"must have 162 starts"</formula>
    </cfRule>
  </conditionalFormatting>
  <conditionalFormatting sqref="AK3:AK22">
    <cfRule type="cellIs" dxfId="8112" priority="2656" stopIfTrue="1" operator="equal">
      <formula>"must average at least 5 innings per start"</formula>
    </cfRule>
  </conditionalFormatting>
  <conditionalFormatting sqref="AK23">
    <cfRule type="cellIs" dxfId="8111" priority="2655" stopIfTrue="1" operator="equal">
      <formula>"must have 162 starts"</formula>
    </cfRule>
  </conditionalFormatting>
  <conditionalFormatting sqref="AK3:AK22">
    <cfRule type="cellIs" dxfId="8110" priority="2654" stopIfTrue="1" operator="equal">
      <formula>"must average at least 5 innings per start"</formula>
    </cfRule>
  </conditionalFormatting>
  <conditionalFormatting sqref="AK23">
    <cfRule type="cellIs" dxfId="8109" priority="2653" stopIfTrue="1" operator="equal">
      <formula>"must have 162 starts"</formula>
    </cfRule>
  </conditionalFormatting>
  <conditionalFormatting sqref="AK3:AK22">
    <cfRule type="cellIs" dxfId="8108" priority="2652" stopIfTrue="1" operator="equal">
      <formula>"must average at least 5 innings per start"</formula>
    </cfRule>
  </conditionalFormatting>
  <conditionalFormatting sqref="AK23">
    <cfRule type="cellIs" dxfId="8107" priority="2651" stopIfTrue="1" operator="equal">
      <formula>"must have 162 starts"</formula>
    </cfRule>
  </conditionalFormatting>
  <conditionalFormatting sqref="AG3:AG22">
    <cfRule type="cellIs" dxfId="8106" priority="2650" stopIfTrue="1" operator="equal">
      <formula>"must average at least 5 innings per start"</formula>
    </cfRule>
  </conditionalFormatting>
  <conditionalFormatting sqref="AG23">
    <cfRule type="cellIs" dxfId="8105" priority="2649" stopIfTrue="1" operator="equal">
      <formula>"must have 162 starts"</formula>
    </cfRule>
  </conditionalFormatting>
  <conditionalFormatting sqref="AK3:AK22">
    <cfRule type="cellIs" dxfId="8104" priority="2648" stopIfTrue="1" operator="equal">
      <formula>"must average at least 5 innings per start"</formula>
    </cfRule>
  </conditionalFormatting>
  <conditionalFormatting sqref="AK23">
    <cfRule type="cellIs" dxfId="8103" priority="2647" stopIfTrue="1" operator="equal">
      <formula>"must have 162 starts"</formula>
    </cfRule>
  </conditionalFormatting>
  <conditionalFormatting sqref="AG3:AG22">
    <cfRule type="cellIs" dxfId="8102" priority="2646" stopIfTrue="1" operator="equal">
      <formula>"must average at least 5 innings per start"</formula>
    </cfRule>
  </conditionalFormatting>
  <conditionalFormatting sqref="AG23">
    <cfRule type="cellIs" dxfId="8101" priority="2645" stopIfTrue="1" operator="equal">
      <formula>"must have 162 starts"</formula>
    </cfRule>
  </conditionalFormatting>
  <conditionalFormatting sqref="Q2">
    <cfRule type="cellIs" dxfId="8100" priority="1" stopIfTrue="1" operator="equal">
      <formula>"ROTATION FAILED"</formula>
    </cfRule>
  </conditionalFormatting>
  <printOptions gridLines="1"/>
  <pageMargins left="0.75" right="0.75" top="1" bottom="1" header="0.5" footer="0.5"/>
  <pageSetup orientation="portrait" r:id="rId1"/>
  <headerFooter alignWithMargins="0">
    <oddHeader>&amp;A</oddHeader>
  </headerFooter>
  <webPublishItems count="3">
    <webPublishItem id="22044" divId="ROTcheck_22044" sourceType="sheet" destinationFile="C:\1kading\schedule\skedesf.html"/>
    <webPublishItem id="25444" divId="ROTcheck_25444" sourceType="range" sourceRef="A1:O193" destinationFile="C:\1kading\schedule\skedesf.html"/>
    <webPublishItem id="21414" divId="ROTcheck_21414" sourceType="range" sourceRef="A156:O185" destinationFile="C:\1kading\schedule\skedesf.html"/>
  </webPublishItems>
</worksheet>
</file>

<file path=xl/worksheets/sheet20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2" customWidth="1"/>
    <col min="2" max="2" width="4" style="2" customWidth="1"/>
    <col min="3" max="3" width="5.85546875" style="2" customWidth="1"/>
    <col min="4" max="4" width="25.57031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85546875" style="2" customWidth="1"/>
    <col min="18" max="18" width="5.140625" style="2" customWidth="1"/>
    <col min="19" max="19" width="21.8554687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15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2" t="s">
        <v>32</v>
      </c>
      <c r="C3" s="33" t="s">
        <v>42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316</v>
      </c>
      <c r="T3" s="46" t="str">
        <f>IF(ISERROR((VLOOKUP(S3,Pitchers!$B$1:H$800,4,FALSE))),"",(VLOOKUP(S3,Pitchers!$B$1:H$800,4,FALSE)))</f>
        <v>STL</v>
      </c>
      <c r="U3" s="45" t="str">
        <f>IF(ISERROR((VLOOKUP(S3,Pitchers!B$2:AA$795,10,FALSE))),"",(VLOOKUP(S3,Pitchers!B$2:AA$795,10,FALSE)))</f>
        <v>L</v>
      </c>
      <c r="V3" s="41"/>
      <c r="W3" s="46">
        <f>IF(ISERROR((VLOOKUP(S3,Pitchers!B$2:AA$795,13,FALSE))),"",(VLOOKUP(S3,Pitchers!B$2:AA$795,13,FALSE)))</f>
        <v>16</v>
      </c>
      <c r="X3" s="47">
        <f>IF(ISERROR((VLOOKUP(S3,Pitchers!B$2:AA$795,11,FALSE))),"",(VLOOKUP(S3,Pitchers!B$2:AA$795,11,FALSE)))</f>
        <v>130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Y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34" ca="1" si="3">IF(ISERROR((INDIRECT(""&amp;$C3&amp;"!c"&amp;ROW(C3)))),"",(INDIRECT(""&amp;$C3&amp;"!c"&amp;ROW(C3))))</f>
        <v>NEW</v>
      </c>
    </row>
    <row r="4" spans="1:36" ht="12.75" customHeight="1">
      <c r="A4" s="6">
        <v>4.0199999999999996</v>
      </c>
      <c r="B4" s="32" t="s">
        <v>32</v>
      </c>
      <c r="C4" s="33" t="s">
        <v>42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289</v>
      </c>
      <c r="T4" s="46" t="str">
        <f>IF(ISERROR((VLOOKUP(S4,Pitchers!$B$1:H$800,4,FALSE))),"",(VLOOKUP(S4,Pitchers!$B$1:H$800,4,FALSE)))</f>
        <v>TOR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14</v>
      </c>
      <c r="X4" s="47">
        <f>IF(ISERROR((VLOOKUP(S4,Pitchers!B$2:AA$795,11,FALSE))),"",(VLOOKUP(S4,Pitchers!B$2:AA$795,11,FALSE)))</f>
        <v>171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 xml:space="preserve"> 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>L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NEW</v>
      </c>
    </row>
    <row r="5" spans="1:36" ht="12.75" customHeight="1">
      <c r="A5" s="6">
        <v>4.03</v>
      </c>
      <c r="B5" s="32" t="s">
        <v>32</v>
      </c>
      <c r="C5" s="33" t="s">
        <v>42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1470</v>
      </c>
      <c r="T5" s="46" t="str">
        <f>IF(ISERROR((VLOOKUP(S5,Pitchers!$B$1:H$800,4,FALSE))),"",(VLOOKUP(S5,Pitchers!$B$1:H$800,4,FALSE)))</f>
        <v>CLE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13</v>
      </c>
      <c r="X5" s="47">
        <f>IF(ISERROR((VLOOKUP(S5,Pitchers!B$2:AA$795,11,FALSE))),"",(VLOOKUP(S5,Pitchers!B$2:AA$795,11,FALSE)))</f>
        <v>92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NEW</v>
      </c>
    </row>
    <row r="6" spans="1:36" ht="12.75" customHeight="1">
      <c r="A6" s="6">
        <v>4.04</v>
      </c>
      <c r="B6" s="32" t="s">
        <v>32</v>
      </c>
      <c r="C6" s="33" t="s">
        <v>42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220</v>
      </c>
      <c r="T6" s="46" t="str">
        <f>IF(ISERROR((VLOOKUP(S6,Pitchers!$B$1:H$800,4,FALSE))),"",(VLOOKUP(S6,Pitchers!$B$1:H$800,4,FALSE)))</f>
        <v>BAL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12</v>
      </c>
      <c r="X6" s="47">
        <f>IF(ISERROR((VLOOKUP(S6,Pitchers!B$2:AA$795,11,FALSE))),"",(VLOOKUP(S6,Pitchers!B$2:AA$795,11,FALSE)))</f>
        <v>192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>L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NEW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1775</v>
      </c>
      <c r="T7" s="46" t="str">
        <f>IF(ISERROR((VLOOKUP(S7,Pitchers!$B$1:H$800,4,FALSE))),"",(VLOOKUP(S7,Pitchers!$B$1:H$800,4,FALSE)))</f>
        <v>MIA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6</v>
      </c>
      <c r="X7" s="47">
        <f>IF(ISERROR((VLOOKUP(S7,Pitchers!B$2:AA$795,11,FALSE))),"",(VLOOKUP(S7,Pitchers!B$2:AA$795,11,FALSE)))</f>
        <v>74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2" t="s">
        <v>32</v>
      </c>
      <c r="C8" s="33" t="s">
        <v>48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1603</v>
      </c>
      <c r="T8" s="46" t="str">
        <f>IF(ISERROR((VLOOKUP(S8,Pitchers!$B$1:H$800,4,FALSE))),"",(VLOOKUP(S8,Pitchers!$B$1:H$800,4,FALSE)))</f>
        <v>TEX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8</v>
      </c>
      <c r="X8" s="47">
        <f>IF(ISERROR((VLOOKUP(S8,Pitchers!B$2:AA$795,11,FALSE))),"",(VLOOKUP(S8,Pitchers!B$2:AA$795,11,FALSE)))</f>
        <v>61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W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NEW</v>
      </c>
    </row>
    <row r="9" spans="1:36" ht="12.75">
      <c r="A9" s="6">
        <v>4.07</v>
      </c>
      <c r="B9" s="32" t="s">
        <v>32</v>
      </c>
      <c r="C9" s="33" t="s">
        <v>48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1751</v>
      </c>
      <c r="T9" s="46" t="str">
        <f>IF(ISERROR((VLOOKUP(S9,Pitchers!$B$1:H$800,4,FALSE))),"",(VLOOKUP(S9,Pitchers!$B$1:H$800,4,FALSE)))</f>
        <v>SEA</v>
      </c>
      <c r="U9" s="45" t="str">
        <f>IF(ISERROR((VLOOKUP(S9,Pitchers!B$2:AA$795,10,FALSE))),"",(VLOOKUP(S9,Pitchers!B$2:AA$795,10,FALSE)))</f>
        <v>L</v>
      </c>
      <c r="V9" s="41"/>
      <c r="W9" s="46">
        <f>IF(ISERROR((VLOOKUP(S9,Pitchers!B$2:AA$795,13,FALSE))),"",(VLOOKUP(S9,Pitchers!B$2:AA$795,13,FALSE)))</f>
        <v>6</v>
      </c>
      <c r="X9" s="47">
        <f>IF(ISERROR((VLOOKUP(S9,Pitchers!B$2:AA$795,11,FALSE))),"",(VLOOKUP(S9,Pitchers!B$2:AA$795,11,FALSE)))</f>
        <v>90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>W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NEW</v>
      </c>
    </row>
    <row r="10" spans="1:36" ht="12.75">
      <c r="A10" s="6">
        <v>4.08</v>
      </c>
      <c r="B10" s="32" t="s">
        <v>32</v>
      </c>
      <c r="C10" s="33" t="s">
        <v>48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338</v>
      </c>
      <c r="T10" s="46" t="str">
        <f>IF(ISERROR((VLOOKUP(S10,Pitchers!$B$1:H$800,4,FALSE))),"",(VLOOKUP(S10,Pitchers!$B$1:H$800,4,FALSE)))</f>
        <v>BAL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4</v>
      </c>
      <c r="X10" s="47">
        <f>IF(ISERROR((VLOOKUP(S10,Pitchers!B$2:AA$795,11,FALSE))),"",(VLOOKUP(S10,Pitchers!B$2:AA$795,11,FALSE)))</f>
        <v>145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>L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NEW</v>
      </c>
    </row>
    <row r="11" spans="1:36" ht="12.75">
      <c r="A11" s="6">
        <v>4.09</v>
      </c>
      <c r="B11" s="32" t="s">
        <v>32</v>
      </c>
      <c r="C11" s="33" t="s">
        <v>48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 t="s">
        <v>1363</v>
      </c>
      <c r="T11" s="46" t="str">
        <f>IF(ISERROR((VLOOKUP(S11,Pitchers!$B$1:H$800,4,FALSE))),"",(VLOOKUP(S11,Pitchers!$B$1:H$800,4,FALSE)))</f>
        <v>ARI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4</v>
      </c>
      <c r="X11" s="47">
        <f>IF(ISERROR((VLOOKUP(S11,Pitchers!B$2:AA$795,11,FALSE))),"",(VLOOKUP(S11,Pitchers!B$2:AA$795,11,FALSE)))</f>
        <v>5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>X</v>
      </c>
      <c r="AC11" s="52" t="str">
        <f>IF(ISERROR((VLOOKUP(S11,Pitchers!B$2:AA$795,17,FALSE))),"",(VLOOKUP(S11,Pitchers!B$2:AA$795,17,FALSE)))</f>
        <v xml:space="preserve"> </v>
      </c>
      <c r="AD11" s="53" t="str">
        <f>IF(ISERROR((VLOOKUP(S11,Pitchers!B$2:AA$795,18,FALSE))),"",(VLOOKUP(S11,Pitchers!B$2:AA$795,18,FALSE)))</f>
        <v xml:space="preserve"> 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NEW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78" t="s">
        <v>1212</v>
      </c>
      <c r="T12" s="46" t="str">
        <f>IF(ISERROR((VLOOKUP(S12,Pitchers!$B$1:H$800,4,FALSE))),"",(VLOOKUP(S12,Pitchers!$B$1:H$800,4,FALSE)))</f>
        <v>CLE</v>
      </c>
      <c r="U12" s="45" t="str">
        <f>IF(ISERROR((VLOOKUP(S12,Pitchers!B$2:AA$795,10,FALSE))),"",(VLOOKUP(S12,Pitchers!B$2:AA$795,10,FALSE)))</f>
        <v>L</v>
      </c>
      <c r="V12" s="21"/>
      <c r="W12" s="46">
        <f>IF(ISERROR((VLOOKUP(S12,Pitchers!B$2:AA$795,13,FALSE))),"",(VLOOKUP(S12,Pitchers!B$2:AA$795,13,FALSE)))</f>
        <v>1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>W</v>
      </c>
      <c r="AD12" s="53" t="str">
        <f>IF(ISERROR((VLOOKUP(S12,Pitchers!B$2:AA$795,18,FALSE))),"",(VLOOKUP(S12,Pitchers!B$2:AA$795,18,FALSE)))</f>
        <v>G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1191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NEW</v>
      </c>
    </row>
    <row r="14" spans="1:36" ht="12.75">
      <c r="A14" s="6">
        <v>4.12</v>
      </c>
      <c r="B14" s="32" t="s">
        <v>32</v>
      </c>
      <c r="C14" s="33" t="s">
        <v>1191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NEW</v>
      </c>
    </row>
    <row r="15" spans="1:36" ht="12.75">
      <c r="A15" s="6">
        <v>4.13</v>
      </c>
      <c r="B15" s="32" t="s">
        <v>32</v>
      </c>
      <c r="C15" s="33" t="s">
        <v>1191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NEW</v>
      </c>
    </row>
    <row r="16" spans="1:36" ht="12.75">
      <c r="A16" s="6">
        <v>4.1399999999999997</v>
      </c>
      <c r="B16" s="32" t="s">
        <v>32</v>
      </c>
      <c r="C16" s="33" t="s">
        <v>1191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NEW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2"/>
      <c r="C18" s="33" t="s">
        <v>54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NEW</v>
      </c>
    </row>
    <row r="19" spans="1:36" ht="12.75">
      <c r="A19" s="6">
        <v>4.17</v>
      </c>
      <c r="B19" s="32"/>
      <c r="C19" s="33" t="s">
        <v>54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NEW</v>
      </c>
    </row>
    <row r="20" spans="1:36" ht="12.75">
      <c r="A20" s="6">
        <v>4.18</v>
      </c>
      <c r="B20" s="32"/>
      <c r="C20" s="33" t="s">
        <v>54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NEW</v>
      </c>
    </row>
    <row r="21" spans="1:36" ht="12.75">
      <c r="A21" s="6">
        <v>4.1900000000000004</v>
      </c>
      <c r="B21" s="32"/>
      <c r="C21" s="33" t="s">
        <v>54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NEW</v>
      </c>
    </row>
    <row r="22" spans="1:36" ht="12.75">
      <c r="A22" s="6">
        <v>4.2</v>
      </c>
      <c r="B22" s="32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2" t="s">
        <v>32</v>
      </c>
      <c r="C23" s="33" t="s">
        <v>13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NEW</v>
      </c>
    </row>
    <row r="24" spans="1:36" ht="12.75">
      <c r="A24" s="6">
        <v>4.22</v>
      </c>
      <c r="B24" s="32" t="s">
        <v>32</v>
      </c>
      <c r="C24" s="33" t="s">
        <v>13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NEW</v>
      </c>
    </row>
    <row r="25" spans="1:36" ht="12.75">
      <c r="A25" s="6">
        <v>4.2300000000000004</v>
      </c>
      <c r="B25" s="32" t="s">
        <v>32</v>
      </c>
      <c r="C25" s="33" t="s">
        <v>13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NEW</v>
      </c>
    </row>
    <row r="26" spans="1:36" ht="12.75">
      <c r="A26" s="6">
        <v>4.24</v>
      </c>
      <c r="B26" s="32" t="s">
        <v>32</v>
      </c>
      <c r="C26" s="33" t="s">
        <v>13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NEW</v>
      </c>
    </row>
    <row r="27" spans="1:36" ht="12.75">
      <c r="A27" s="6">
        <v>4.25</v>
      </c>
      <c r="B27" s="32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2"/>
      <c r="C28" s="33" t="s">
        <v>52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NEW</v>
      </c>
    </row>
    <row r="29" spans="1:36" ht="12.75">
      <c r="A29" s="6">
        <v>4.2699999999999996</v>
      </c>
      <c r="B29" s="32"/>
      <c r="C29" s="33" t="s">
        <v>52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NEW</v>
      </c>
    </row>
    <row r="30" spans="1:36" ht="12.75">
      <c r="A30" s="6">
        <v>4.28</v>
      </c>
      <c r="B30" s="32"/>
      <c r="C30" s="33" t="s">
        <v>52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NEW</v>
      </c>
    </row>
    <row r="31" spans="1:36" ht="12.75">
      <c r="A31" s="6">
        <v>4.29</v>
      </c>
      <c r="B31" s="32"/>
      <c r="C31" s="33" t="s">
        <v>52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NEW</v>
      </c>
    </row>
    <row r="32" spans="1:36" ht="12.75">
      <c r="A32" s="6">
        <v>4.3</v>
      </c>
      <c r="B32" s="32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2" t="s">
        <v>32</v>
      </c>
      <c r="C33" s="33" t="s">
        <v>51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NEW</v>
      </c>
    </row>
    <row r="34" spans="1:36" ht="12.75">
      <c r="A34" s="6">
        <v>5.0199999999999996</v>
      </c>
      <c r="B34" s="32" t="s">
        <v>32</v>
      </c>
      <c r="C34" s="33" t="s">
        <v>51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NEW</v>
      </c>
    </row>
    <row r="35" spans="1:36" ht="12.75">
      <c r="A35" s="6">
        <v>5.03</v>
      </c>
      <c r="B35" s="32" t="s">
        <v>32</v>
      </c>
      <c r="C35" s="33" t="s">
        <v>51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ref="AJ35:AJ66" ca="1" si="13">IF(ISERROR((INDIRECT(""&amp;$C35&amp;"!c"&amp;ROW(C35)))),"",(INDIRECT(""&amp;$C35&amp;"!c"&amp;ROW(C35))))</f>
        <v>NEW</v>
      </c>
    </row>
    <row r="36" spans="1:36" ht="12.75">
      <c r="A36" s="6">
        <v>5.04</v>
      </c>
      <c r="B36" s="32" t="s">
        <v>32</v>
      </c>
      <c r="C36" s="33" t="s">
        <v>51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13"/>
        <v>NEW</v>
      </c>
    </row>
    <row r="37" spans="1:36" ht="12.75">
      <c r="A37" s="6">
        <v>5.05</v>
      </c>
      <c r="B37" s="32"/>
      <c r="C37" s="33" t="s">
        <v>55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13"/>
        <v>NEW</v>
      </c>
    </row>
    <row r="38" spans="1:36" ht="12.75">
      <c r="A38" s="6">
        <v>5.0599999999999996</v>
      </c>
      <c r="B38" s="32"/>
      <c r="C38" s="33" t="s">
        <v>55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13"/>
        <v>NEW</v>
      </c>
    </row>
    <row r="39" spans="1:36" ht="12.75">
      <c r="A39" s="6">
        <v>5.07</v>
      </c>
      <c r="B39" s="32"/>
      <c r="C39" s="33" t="s">
        <v>55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13"/>
        <v>NEW</v>
      </c>
    </row>
    <row r="40" spans="1:36" ht="12.75">
      <c r="A40" s="6">
        <v>5.08</v>
      </c>
      <c r="B40" s="32"/>
      <c r="C40" s="33" t="s">
        <v>55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13"/>
        <v>NEW</v>
      </c>
    </row>
    <row r="41" spans="1:36" ht="12.75">
      <c r="A41" s="6">
        <v>5.09</v>
      </c>
      <c r="B41" s="32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13"/>
        <v/>
      </c>
    </row>
    <row r="42" spans="1:36" ht="12.75">
      <c r="A42" s="6">
        <v>5.0999999999999996</v>
      </c>
      <c r="B42" s="32" t="s">
        <v>32</v>
      </c>
      <c r="C42" s="33" t="s">
        <v>14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4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13"/>
        <v>NEW</v>
      </c>
    </row>
    <row r="43" spans="1:36" ht="12.75">
      <c r="A43" s="6">
        <v>5.1100000000000003</v>
      </c>
      <c r="B43" s="32" t="s">
        <v>32</v>
      </c>
      <c r="C43" s="33" t="s">
        <v>14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4"/>
        <v>input starter in column D</v>
      </c>
      <c r="Q43" s="5" t="str">
        <f t="shared" si="12"/>
        <v/>
      </c>
      <c r="R43" s="10">
        <v>1</v>
      </c>
      <c r="AJ43" s="33" t="str">
        <f t="shared" ca="1" si="13"/>
        <v>NEW</v>
      </c>
    </row>
    <row r="44" spans="1:36" ht="12.75">
      <c r="A44" s="6">
        <v>5.12</v>
      </c>
      <c r="B44" s="32" t="s">
        <v>32</v>
      </c>
      <c r="C44" s="33" t="s">
        <v>14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4"/>
        <v>input starter in column D</v>
      </c>
      <c r="Q44" s="5" t="str">
        <f t="shared" si="12"/>
        <v/>
      </c>
      <c r="R44" s="10">
        <v>2</v>
      </c>
      <c r="AJ44" s="33" t="str">
        <f t="shared" ca="1" si="13"/>
        <v>NEW</v>
      </c>
    </row>
    <row r="45" spans="1:36" ht="12.75">
      <c r="A45" s="6">
        <v>5.13</v>
      </c>
      <c r="B45" s="32" t="s">
        <v>32</v>
      </c>
      <c r="C45" s="33" t="s">
        <v>14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4"/>
        <v>input starter in column D</v>
      </c>
      <c r="Q45" s="5" t="str">
        <f t="shared" si="12"/>
        <v/>
      </c>
      <c r="R45" s="10">
        <v>3</v>
      </c>
      <c r="AJ45" s="33" t="str">
        <f t="shared" ca="1" si="13"/>
        <v>NEW</v>
      </c>
    </row>
    <row r="46" spans="1:36" ht="12.75">
      <c r="A46" s="6">
        <v>5.14</v>
      </c>
      <c r="B46" s="32" t="s">
        <v>32</v>
      </c>
      <c r="C46" s="33" t="s">
        <v>56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4"/>
        <v>input starter in column D</v>
      </c>
      <c r="Q46" s="5" t="str">
        <f t="shared" si="12"/>
        <v/>
      </c>
      <c r="R46" s="10">
        <v>5</v>
      </c>
      <c r="AJ46" s="33" t="str">
        <f t="shared" ca="1" si="13"/>
        <v>NEW</v>
      </c>
    </row>
    <row r="47" spans="1:36" ht="12.75">
      <c r="A47" s="6">
        <v>5.15</v>
      </c>
      <c r="B47" s="32" t="s">
        <v>32</v>
      </c>
      <c r="C47" s="33" t="s">
        <v>56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4"/>
        <v>input starter in column D</v>
      </c>
      <c r="Q47" s="5" t="str">
        <f t="shared" si="12"/>
        <v/>
      </c>
      <c r="R47" s="10">
        <v>4</v>
      </c>
      <c r="AJ47" s="33" t="str">
        <f t="shared" ca="1" si="13"/>
        <v>NEW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13"/>
        <v/>
      </c>
    </row>
    <row r="49" spans="1:36" ht="12.75">
      <c r="A49" s="6">
        <v>5.17</v>
      </c>
      <c r="B49" s="32" t="s">
        <v>32</v>
      </c>
      <c r="C49" s="33" t="s">
        <v>56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5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13"/>
        <v>NEW</v>
      </c>
    </row>
    <row r="50" spans="1:36" ht="12.75">
      <c r="A50" s="6">
        <v>5.18</v>
      </c>
      <c r="B50" s="32" t="s">
        <v>32</v>
      </c>
      <c r="C50" s="33" t="s">
        <v>56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5"/>
        <v>input starter in column D</v>
      </c>
      <c r="Q50" s="5" t="str">
        <f t="shared" si="12"/>
        <v/>
      </c>
      <c r="R50" s="10">
        <v>2</v>
      </c>
      <c r="AJ50" s="33" t="str">
        <f t="shared" ca="1" si="13"/>
        <v>NEW</v>
      </c>
    </row>
    <row r="51" spans="1:36" ht="12.75">
      <c r="A51" s="6">
        <v>5.19</v>
      </c>
      <c r="B51" s="32" t="s">
        <v>32</v>
      </c>
      <c r="C51" s="33" t="s">
        <v>40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5"/>
        <v>input starter in column D</v>
      </c>
      <c r="Q51" s="5" t="str">
        <f t="shared" si="12"/>
        <v/>
      </c>
      <c r="R51" s="10">
        <v>3</v>
      </c>
      <c r="AJ51" s="33" t="str">
        <f t="shared" ca="1" si="13"/>
        <v>NEW</v>
      </c>
    </row>
    <row r="52" spans="1:36" ht="12.75">
      <c r="A52" s="6">
        <v>5.2</v>
      </c>
      <c r="B52" s="32" t="s">
        <v>32</v>
      </c>
      <c r="C52" s="33" t="s">
        <v>40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5"/>
        <v>input starter in column D</v>
      </c>
      <c r="Q52" s="5" t="str">
        <f t="shared" si="12"/>
        <v/>
      </c>
      <c r="R52" s="10">
        <v>4</v>
      </c>
      <c r="AJ52" s="33" t="str">
        <f t="shared" ca="1" si="13"/>
        <v>NEW</v>
      </c>
    </row>
    <row r="53" spans="1:36" ht="12.75">
      <c r="A53" s="6">
        <v>5.21</v>
      </c>
      <c r="B53" s="32" t="s">
        <v>32</v>
      </c>
      <c r="C53" s="33" t="s">
        <v>40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5"/>
        <v>input starter in column D</v>
      </c>
      <c r="Q53" s="5" t="str">
        <f t="shared" si="12"/>
        <v/>
      </c>
      <c r="R53" s="10">
        <v>5</v>
      </c>
      <c r="AJ53" s="33" t="str">
        <f t="shared" ca="1" si="13"/>
        <v>NEW</v>
      </c>
    </row>
    <row r="54" spans="1:36" ht="12.75">
      <c r="A54" s="6">
        <v>5.22</v>
      </c>
      <c r="B54" s="32" t="s">
        <v>32</v>
      </c>
      <c r="C54" s="33" t="s">
        <v>40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5"/>
        <v>input starter in column D</v>
      </c>
      <c r="Q54" s="5" t="str">
        <f t="shared" si="12"/>
        <v/>
      </c>
      <c r="R54" s="10">
        <v>1</v>
      </c>
      <c r="AJ54" s="33" t="str">
        <f t="shared" ca="1" si="13"/>
        <v>NEW</v>
      </c>
    </row>
    <row r="55" spans="1:36" ht="12.75">
      <c r="A55" s="6">
        <v>5.23</v>
      </c>
      <c r="B55" s="32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13"/>
        <v/>
      </c>
    </row>
    <row r="56" spans="1:36" ht="12.75">
      <c r="A56" s="6">
        <v>5.24</v>
      </c>
      <c r="B56" s="33"/>
      <c r="C56" s="33" t="s">
        <v>44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6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13"/>
        <v>NEW</v>
      </c>
    </row>
    <row r="57" spans="1:36" ht="12.75">
      <c r="A57" s="6">
        <v>5.25</v>
      </c>
      <c r="B57" s="33"/>
      <c r="C57" s="33" t="s">
        <v>44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6"/>
        <v>input starter in column D</v>
      </c>
      <c r="Q57" s="5" t="str">
        <f t="shared" si="12"/>
        <v/>
      </c>
      <c r="R57" s="10">
        <v>3</v>
      </c>
      <c r="AJ57" s="33" t="str">
        <f t="shared" ca="1" si="13"/>
        <v>NEW</v>
      </c>
    </row>
    <row r="58" spans="1:36" ht="12.75">
      <c r="A58" s="6">
        <v>5.26</v>
      </c>
      <c r="B58" s="33"/>
      <c r="C58" s="33" t="s">
        <v>44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6"/>
        <v>input starter in column D</v>
      </c>
      <c r="Q58" s="5" t="str">
        <f t="shared" si="12"/>
        <v/>
      </c>
      <c r="R58" s="10">
        <v>4</v>
      </c>
      <c r="AJ58" s="33" t="str">
        <f t="shared" ca="1" si="13"/>
        <v>NEW</v>
      </c>
    </row>
    <row r="59" spans="1:36" ht="12.75">
      <c r="A59" s="6">
        <v>5.27</v>
      </c>
      <c r="B59" s="32"/>
      <c r="C59" s="33" t="s">
        <v>44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6"/>
        <v>input starter in column D</v>
      </c>
      <c r="Q59" s="5" t="str">
        <f t="shared" si="12"/>
        <v/>
      </c>
      <c r="R59" s="10">
        <v>1</v>
      </c>
      <c r="AJ59" s="33" t="str">
        <f t="shared" ca="1" si="13"/>
        <v>NEW</v>
      </c>
    </row>
    <row r="60" spans="1:36" ht="12.75">
      <c r="A60" s="6">
        <v>5.28</v>
      </c>
      <c r="B60" s="32" t="s">
        <v>32</v>
      </c>
      <c r="C60" s="33" t="s">
        <v>39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6"/>
        <v>input starter in column D</v>
      </c>
      <c r="Q60" s="5" t="str">
        <f t="shared" si="12"/>
        <v/>
      </c>
      <c r="R60" s="10">
        <v>5</v>
      </c>
      <c r="AJ60" s="33" t="str">
        <f t="shared" ca="1" si="13"/>
        <v>NEW</v>
      </c>
    </row>
    <row r="61" spans="1:36" ht="12.75">
      <c r="A61" s="6">
        <v>5.29</v>
      </c>
      <c r="B61" s="32" t="s">
        <v>32</v>
      </c>
      <c r="C61" s="33" t="s">
        <v>39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6"/>
        <v>input starter in column D</v>
      </c>
      <c r="Q61" s="5" t="str">
        <f t="shared" si="12"/>
        <v/>
      </c>
      <c r="R61" s="10">
        <v>2</v>
      </c>
      <c r="AJ61" s="33" t="str">
        <f t="shared" ca="1" si="13"/>
        <v>NEW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13"/>
        <v/>
      </c>
    </row>
    <row r="63" spans="1:36" ht="12.75">
      <c r="A63" s="6">
        <v>5.31</v>
      </c>
      <c r="B63" s="32" t="s">
        <v>32</v>
      </c>
      <c r="C63" s="33" t="s">
        <v>39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7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13"/>
        <v>NEW</v>
      </c>
    </row>
    <row r="64" spans="1:36" ht="12.75">
      <c r="A64" s="6">
        <v>6.01</v>
      </c>
      <c r="B64" s="32" t="s">
        <v>32</v>
      </c>
      <c r="C64" s="33" t="s">
        <v>46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7"/>
        <v>input starter in column D</v>
      </c>
      <c r="Q64" s="5" t="str">
        <f t="shared" si="12"/>
        <v/>
      </c>
      <c r="R64" s="10">
        <v>1</v>
      </c>
      <c r="AJ64" s="33" t="str">
        <f t="shared" ca="1" si="13"/>
        <v>NEW</v>
      </c>
    </row>
    <row r="65" spans="1:36" ht="12.75">
      <c r="A65" s="6">
        <v>6.02</v>
      </c>
      <c r="B65" s="32" t="s">
        <v>32</v>
      </c>
      <c r="C65" s="33" t="s">
        <v>46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7"/>
        <v>input starter in column D</v>
      </c>
      <c r="Q65" s="5" t="str">
        <f t="shared" si="12"/>
        <v/>
      </c>
      <c r="R65" s="10">
        <v>4</v>
      </c>
      <c r="AJ65" s="33" t="str">
        <f t="shared" ca="1" si="13"/>
        <v>NEW</v>
      </c>
    </row>
    <row r="66" spans="1:36" ht="12.75">
      <c r="A66" s="6">
        <v>6.03</v>
      </c>
      <c r="B66" s="32" t="s">
        <v>32</v>
      </c>
      <c r="C66" s="33" t="s">
        <v>46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7"/>
        <v>input starter in column D</v>
      </c>
      <c r="Q66" s="5" t="str">
        <f t="shared" si="12"/>
        <v/>
      </c>
      <c r="R66" s="10">
        <v>2</v>
      </c>
      <c r="AJ66" s="33" t="str">
        <f t="shared" ca="1" si="13"/>
        <v>NEW</v>
      </c>
    </row>
    <row r="67" spans="1:36" ht="12.75">
      <c r="A67" s="6">
        <v>6.04</v>
      </c>
      <c r="B67" s="32" t="s">
        <v>32</v>
      </c>
      <c r="C67" s="33" t="s">
        <v>46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7"/>
        <v>input starter in column D</v>
      </c>
      <c r="Q67" s="5" t="str">
        <f t="shared" si="12"/>
        <v/>
      </c>
      <c r="R67" s="10">
        <v>5</v>
      </c>
      <c r="AJ67" s="33" t="str">
        <f t="shared" ref="AJ67:AJ98" ca="1" si="18">IF(ISERROR((INDIRECT(""&amp;$C67&amp;"!c"&amp;ROW(C67)))),"",(INDIRECT(""&amp;$C67&amp;"!c"&amp;ROW(C67))))</f>
        <v>NEW</v>
      </c>
    </row>
    <row r="68" spans="1:36" ht="12.75">
      <c r="A68" s="6">
        <v>6.05</v>
      </c>
      <c r="B68" s="32"/>
      <c r="C68" s="33" t="s">
        <v>49</v>
      </c>
      <c r="D68" s="74"/>
      <c r="E68" s="75" t="str">
        <f t="shared" ref="E68:E131" si="19">IF(ISERROR((VLOOKUP($D68,$S$3:$AE$22,3,FALSE))),"",(VLOOKUP($D68,$S$3:$AE$22,3,FALSE)))</f>
        <v/>
      </c>
      <c r="F68" s="75" t="str">
        <f t="shared" ref="F68:F131" si="20">IF(ISERROR((VLOOKUP($D68,$S$3:$AE$22,5,FALSE))),"",(VLOOKUP($D68,$S$3:$AE$22,5,FALSE)))</f>
        <v/>
      </c>
      <c r="G68" s="75" t="str">
        <f t="shared" ref="G68:G131" si="21">IF(ISERROR((VLOOKUP($D68,$S$3:$AE$22,10,FALSE))),"",(VLOOKUP($D68,$S$3:$AE$22,10,FALSE)))</f>
        <v/>
      </c>
      <c r="H68" s="75" t="str">
        <f t="shared" ref="H68:H131" si="22">IF(ISERROR((VLOOKUP($D68,$S$3:$AE$22,11,FALSE))),"",(VLOOKUP($D68,$S$3:$AE$22,11,FALSE)))</f>
        <v/>
      </c>
      <c r="I68" s="75" t="str">
        <f t="shared" ref="I68:I131" si="23">IF(ISERROR((VLOOKUP($D68,$S$3:$AE$22,12,FALSE))),"",(VLOOKUP($D68,$S$3:$AE$22,12,FALSE)))</f>
        <v/>
      </c>
      <c r="J68" s="74" t="str">
        <f t="shared" ref="J68:J131" ca="1" si="24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7"/>
        <v>input starter in column D</v>
      </c>
      <c r="Q68" s="5" t="str">
        <f t="shared" si="12"/>
        <v/>
      </c>
      <c r="R68" s="10">
        <v>3</v>
      </c>
      <c r="AJ68" s="33" t="str">
        <f t="shared" ca="1" si="18"/>
        <v>NEW</v>
      </c>
    </row>
    <row r="69" spans="1:36" ht="12.75">
      <c r="A69" s="6">
        <v>6.06</v>
      </c>
      <c r="B69" s="32"/>
      <c r="C69" s="33" t="s">
        <v>49</v>
      </c>
      <c r="D69" s="74"/>
      <c r="E69" s="75" t="str">
        <f t="shared" si="19"/>
        <v/>
      </c>
      <c r="F69" s="75" t="str">
        <f t="shared" si="20"/>
        <v/>
      </c>
      <c r="G69" s="75" t="str">
        <f t="shared" si="21"/>
        <v/>
      </c>
      <c r="H69" s="75" t="str">
        <f t="shared" si="22"/>
        <v/>
      </c>
      <c r="I69" s="75" t="str">
        <f t="shared" si="23"/>
        <v/>
      </c>
      <c r="J69" s="74" t="str">
        <f t="shared" ca="1" si="24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7"/>
        <v>input starter in column D</v>
      </c>
      <c r="Q69" s="5" t="str">
        <f t="shared" si="12"/>
        <v/>
      </c>
      <c r="R69" s="10">
        <v>1</v>
      </c>
      <c r="AJ69" s="33" t="str">
        <f t="shared" ca="1" si="18"/>
        <v>NEW</v>
      </c>
    </row>
    <row r="70" spans="1:36" ht="12.75">
      <c r="A70" s="6">
        <v>6.07</v>
      </c>
      <c r="B70" s="32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8"/>
        <v/>
      </c>
    </row>
    <row r="71" spans="1:36" ht="12.75">
      <c r="A71" s="6">
        <v>6.08</v>
      </c>
      <c r="B71" s="32"/>
      <c r="C71" s="33" t="s">
        <v>49</v>
      </c>
      <c r="D71" s="74"/>
      <c r="E71" s="75" t="str">
        <f t="shared" si="19"/>
        <v/>
      </c>
      <c r="F71" s="75" t="str">
        <f t="shared" si="20"/>
        <v/>
      </c>
      <c r="G71" s="75" t="str">
        <f t="shared" si="21"/>
        <v/>
      </c>
      <c r="H71" s="75" t="str">
        <f t="shared" si="22"/>
        <v/>
      </c>
      <c r="I71" s="75" t="str">
        <f t="shared" si="23"/>
        <v/>
      </c>
      <c r="J71" s="74" t="str">
        <f t="shared" ca="1" si="24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5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8"/>
        <v>NEW</v>
      </c>
    </row>
    <row r="72" spans="1:36" ht="12.75">
      <c r="A72" s="6">
        <v>6.09</v>
      </c>
      <c r="B72" s="32"/>
      <c r="C72" s="33" t="s">
        <v>49</v>
      </c>
      <c r="D72" s="74"/>
      <c r="E72" s="75" t="str">
        <f t="shared" si="19"/>
        <v/>
      </c>
      <c r="F72" s="75" t="str">
        <f t="shared" si="20"/>
        <v/>
      </c>
      <c r="G72" s="75" t="str">
        <f t="shared" si="21"/>
        <v/>
      </c>
      <c r="H72" s="75" t="str">
        <f t="shared" si="22"/>
        <v/>
      </c>
      <c r="I72" s="75" t="str">
        <f t="shared" si="23"/>
        <v/>
      </c>
      <c r="J72" s="74" t="str">
        <f t="shared" ca="1" si="24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5"/>
        <v>input starter in column D</v>
      </c>
      <c r="Q72" s="5" t="str">
        <f t="shared" si="12"/>
        <v/>
      </c>
      <c r="R72" s="10">
        <v>4</v>
      </c>
      <c r="AJ72" s="33" t="str">
        <f t="shared" ca="1" si="18"/>
        <v>NEW</v>
      </c>
    </row>
    <row r="73" spans="1:36" ht="12.75">
      <c r="A73" s="6">
        <v>6.1</v>
      </c>
      <c r="B73" s="32"/>
      <c r="C73" s="33" t="s">
        <v>1918</v>
      </c>
      <c r="D73" s="74"/>
      <c r="E73" s="75" t="str">
        <f t="shared" si="19"/>
        <v/>
      </c>
      <c r="F73" s="75" t="str">
        <f t="shared" si="20"/>
        <v/>
      </c>
      <c r="G73" s="75" t="str">
        <f t="shared" si="21"/>
        <v/>
      </c>
      <c r="H73" s="75" t="str">
        <f t="shared" si="22"/>
        <v/>
      </c>
      <c r="I73" s="75" t="str">
        <f t="shared" si="23"/>
        <v/>
      </c>
      <c r="J73" s="74" t="str">
        <f t="shared" ca="1" si="24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5"/>
        <v>input starter in column D</v>
      </c>
      <c r="Q73" s="5" t="str">
        <f t="shared" si="12"/>
        <v/>
      </c>
      <c r="R73" s="10">
        <v>3</v>
      </c>
      <c r="AJ73" s="33" t="str">
        <f t="shared" ca="1" si="18"/>
        <v>NEW</v>
      </c>
    </row>
    <row r="74" spans="1:36" ht="12.75">
      <c r="A74" s="6">
        <v>6.11</v>
      </c>
      <c r="B74" s="32"/>
      <c r="C74" s="33" t="s">
        <v>1918</v>
      </c>
      <c r="D74" s="74"/>
      <c r="E74" s="75" t="str">
        <f t="shared" si="19"/>
        <v/>
      </c>
      <c r="F74" s="75" t="str">
        <f t="shared" si="20"/>
        <v/>
      </c>
      <c r="G74" s="75" t="str">
        <f t="shared" si="21"/>
        <v/>
      </c>
      <c r="H74" s="75" t="str">
        <f t="shared" si="22"/>
        <v/>
      </c>
      <c r="I74" s="75" t="str">
        <f t="shared" si="23"/>
        <v/>
      </c>
      <c r="J74" s="74" t="str">
        <f t="shared" ca="1" si="24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5"/>
        <v>input starter in column D</v>
      </c>
      <c r="Q74" s="5" t="str">
        <f t="shared" si="12"/>
        <v/>
      </c>
      <c r="R74" s="10">
        <v>1</v>
      </c>
      <c r="AJ74" s="33" t="str">
        <f t="shared" ca="1" si="18"/>
        <v>NEW</v>
      </c>
    </row>
    <row r="75" spans="1:36" ht="12.75">
      <c r="A75" s="6">
        <v>6.12</v>
      </c>
      <c r="B75" s="32"/>
      <c r="C75" s="33" t="s">
        <v>1918</v>
      </c>
      <c r="D75" s="74"/>
      <c r="E75" s="75" t="str">
        <f t="shared" si="19"/>
        <v/>
      </c>
      <c r="F75" s="75" t="str">
        <f t="shared" si="20"/>
        <v/>
      </c>
      <c r="G75" s="75" t="str">
        <f t="shared" si="21"/>
        <v/>
      </c>
      <c r="H75" s="75" t="str">
        <f t="shared" si="22"/>
        <v/>
      </c>
      <c r="I75" s="75" t="str">
        <f t="shared" si="23"/>
        <v/>
      </c>
      <c r="J75" s="74" t="str">
        <f t="shared" ca="1" si="24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5"/>
        <v>input starter in column D</v>
      </c>
      <c r="Q75" s="5" t="str">
        <f t="shared" si="12"/>
        <v/>
      </c>
      <c r="R75" s="10">
        <v>5</v>
      </c>
      <c r="AJ75" s="33" t="str">
        <f t="shared" ca="1" si="18"/>
        <v>NEW</v>
      </c>
    </row>
    <row r="76" spans="1:36" ht="12.75">
      <c r="A76" s="6">
        <v>6.13</v>
      </c>
      <c r="B76" s="32"/>
      <c r="C76" s="33" t="s">
        <v>1918</v>
      </c>
      <c r="D76" s="74"/>
      <c r="E76" s="75" t="str">
        <f t="shared" si="19"/>
        <v/>
      </c>
      <c r="F76" s="75" t="str">
        <f t="shared" si="20"/>
        <v/>
      </c>
      <c r="G76" s="75" t="str">
        <f t="shared" si="21"/>
        <v/>
      </c>
      <c r="H76" s="75" t="str">
        <f t="shared" si="22"/>
        <v/>
      </c>
      <c r="I76" s="75" t="str">
        <f t="shared" si="23"/>
        <v/>
      </c>
      <c r="J76" s="74" t="str">
        <f t="shared" ca="1" si="24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5"/>
        <v>input starter in column D</v>
      </c>
      <c r="Q76" s="5" t="str">
        <f t="shared" si="12"/>
        <v/>
      </c>
      <c r="R76" s="10">
        <v>2</v>
      </c>
      <c r="AJ76" s="33" t="str">
        <f t="shared" ca="1" si="18"/>
        <v>NEW</v>
      </c>
    </row>
    <row r="77" spans="1:36" ht="12.75">
      <c r="A77" s="6">
        <v>6.14</v>
      </c>
      <c r="B77" s="32"/>
      <c r="C77" s="33" t="s">
        <v>12</v>
      </c>
      <c r="D77" s="74"/>
      <c r="E77" s="75" t="str">
        <f t="shared" si="19"/>
        <v/>
      </c>
      <c r="F77" s="75" t="str">
        <f t="shared" si="20"/>
        <v/>
      </c>
      <c r="G77" s="75" t="str">
        <f t="shared" si="21"/>
        <v/>
      </c>
      <c r="H77" s="75" t="str">
        <f t="shared" si="22"/>
        <v/>
      </c>
      <c r="I77" s="75" t="str">
        <f t="shared" si="23"/>
        <v/>
      </c>
      <c r="J77" s="74" t="str">
        <f t="shared" ca="1" si="24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5"/>
        <v>input starter in column D</v>
      </c>
      <c r="Q77" s="5" t="str">
        <f t="shared" si="12"/>
        <v/>
      </c>
      <c r="R77" s="10">
        <v>4</v>
      </c>
      <c r="AJ77" s="33" t="str">
        <f t="shared" ca="1" si="18"/>
        <v>NEW</v>
      </c>
    </row>
    <row r="78" spans="1:36" ht="12.75">
      <c r="A78" s="6">
        <v>6.15</v>
      </c>
      <c r="B78" s="32"/>
      <c r="C78" s="33" t="s">
        <v>12</v>
      </c>
      <c r="D78" s="74"/>
      <c r="E78" s="75" t="str">
        <f t="shared" si="19"/>
        <v/>
      </c>
      <c r="F78" s="75" t="str">
        <f t="shared" si="20"/>
        <v/>
      </c>
      <c r="G78" s="75" t="str">
        <f t="shared" si="21"/>
        <v/>
      </c>
      <c r="H78" s="75" t="str">
        <f t="shared" si="22"/>
        <v/>
      </c>
      <c r="I78" s="75" t="str">
        <f t="shared" si="23"/>
        <v/>
      </c>
      <c r="J78" s="74" t="str">
        <f t="shared" ca="1" si="24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5"/>
        <v>input starter in column D</v>
      </c>
      <c r="Q78" s="5" t="str">
        <f t="shared" si="12"/>
        <v/>
      </c>
      <c r="R78" s="10">
        <v>3</v>
      </c>
      <c r="AJ78" s="33" t="str">
        <f t="shared" ca="1" si="18"/>
        <v>NEW</v>
      </c>
    </row>
    <row r="79" spans="1:36" ht="12.75">
      <c r="A79" s="6">
        <v>6.16</v>
      </c>
      <c r="B79" s="32"/>
      <c r="C79" s="33" t="s">
        <v>12</v>
      </c>
      <c r="D79" s="74"/>
      <c r="E79" s="75" t="str">
        <f t="shared" si="19"/>
        <v/>
      </c>
      <c r="F79" s="75" t="str">
        <f t="shared" si="20"/>
        <v/>
      </c>
      <c r="G79" s="75" t="str">
        <f t="shared" si="21"/>
        <v/>
      </c>
      <c r="H79" s="75" t="str">
        <f t="shared" si="22"/>
        <v/>
      </c>
      <c r="I79" s="75" t="str">
        <f t="shared" si="23"/>
        <v/>
      </c>
      <c r="J79" s="74" t="str">
        <f t="shared" ca="1" si="24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5"/>
        <v>input starter in column D</v>
      </c>
      <c r="Q79" s="5" t="str">
        <f t="shared" si="12"/>
        <v/>
      </c>
      <c r="R79" s="10">
        <v>1</v>
      </c>
      <c r="AJ79" s="33" t="str">
        <f t="shared" ca="1" si="18"/>
        <v>NEW</v>
      </c>
    </row>
    <row r="80" spans="1:36" ht="12.75">
      <c r="A80" s="6">
        <v>6.17</v>
      </c>
      <c r="B80" s="32"/>
      <c r="C80" s="33" t="s">
        <v>12</v>
      </c>
      <c r="D80" s="74"/>
      <c r="E80" s="75" t="str">
        <f t="shared" si="19"/>
        <v/>
      </c>
      <c r="F80" s="75" t="str">
        <f t="shared" si="20"/>
        <v/>
      </c>
      <c r="G80" s="75" t="str">
        <f t="shared" si="21"/>
        <v/>
      </c>
      <c r="H80" s="75" t="str">
        <f t="shared" si="22"/>
        <v/>
      </c>
      <c r="I80" s="75" t="str">
        <f t="shared" si="23"/>
        <v/>
      </c>
      <c r="J80" s="74" t="str">
        <f t="shared" ca="1" si="24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5"/>
        <v>input starter in column D</v>
      </c>
      <c r="Q80" s="5" t="str">
        <f t="shared" si="12"/>
        <v/>
      </c>
      <c r="R80" s="10">
        <v>5</v>
      </c>
      <c r="AJ80" s="33" t="str">
        <f t="shared" ca="1" si="18"/>
        <v>NEW</v>
      </c>
    </row>
    <row r="81" spans="1:36" ht="12.75">
      <c r="A81" s="6">
        <v>6.18</v>
      </c>
      <c r="B81" s="32" t="s">
        <v>32</v>
      </c>
      <c r="C81" s="33" t="s">
        <v>45</v>
      </c>
      <c r="D81" s="74"/>
      <c r="E81" s="75" t="str">
        <f t="shared" si="19"/>
        <v/>
      </c>
      <c r="F81" s="75" t="str">
        <f t="shared" si="20"/>
        <v/>
      </c>
      <c r="G81" s="75" t="str">
        <f t="shared" si="21"/>
        <v/>
      </c>
      <c r="H81" s="75" t="str">
        <f t="shared" si="22"/>
        <v/>
      </c>
      <c r="I81" s="75" t="str">
        <f t="shared" si="23"/>
        <v/>
      </c>
      <c r="J81" s="74" t="str">
        <f t="shared" ca="1" si="24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5"/>
        <v>input starter in column D</v>
      </c>
      <c r="Q81" s="5" t="str">
        <f t="shared" si="12"/>
        <v/>
      </c>
      <c r="R81" s="10">
        <v>2</v>
      </c>
      <c r="AJ81" s="33" t="str">
        <f t="shared" ca="1" si="18"/>
        <v>NEW</v>
      </c>
    </row>
    <row r="82" spans="1:36" ht="12.75">
      <c r="A82" s="6">
        <v>6.19</v>
      </c>
      <c r="B82" s="32" t="s">
        <v>32</v>
      </c>
      <c r="C82" s="33" t="s">
        <v>45</v>
      </c>
      <c r="D82" s="74"/>
      <c r="E82" s="75" t="str">
        <f t="shared" si="19"/>
        <v/>
      </c>
      <c r="F82" s="75" t="str">
        <f t="shared" si="20"/>
        <v/>
      </c>
      <c r="G82" s="75" t="str">
        <f t="shared" si="21"/>
        <v/>
      </c>
      <c r="H82" s="75" t="str">
        <f t="shared" si="22"/>
        <v/>
      </c>
      <c r="I82" s="75" t="str">
        <f t="shared" si="23"/>
        <v/>
      </c>
      <c r="J82" s="74" t="str">
        <f t="shared" ca="1" si="24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5"/>
        <v>input starter in column D</v>
      </c>
      <c r="Q82" s="5" t="str">
        <f t="shared" si="12"/>
        <v/>
      </c>
      <c r="R82" s="10">
        <v>4</v>
      </c>
      <c r="AJ82" s="33" t="str">
        <f t="shared" ca="1" si="18"/>
        <v>NEW</v>
      </c>
    </row>
    <row r="83" spans="1:36" ht="12.75">
      <c r="A83" s="6">
        <v>6.2</v>
      </c>
      <c r="B83" s="32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8"/>
        <v/>
      </c>
    </row>
    <row r="84" spans="1:36" ht="12.75">
      <c r="A84" s="6">
        <v>6.21</v>
      </c>
      <c r="B84" s="32" t="s">
        <v>32</v>
      </c>
      <c r="C84" s="33" t="s">
        <v>45</v>
      </c>
      <c r="D84" s="74"/>
      <c r="E84" s="75" t="str">
        <f t="shared" si="19"/>
        <v/>
      </c>
      <c r="F84" s="75" t="str">
        <f t="shared" si="20"/>
        <v/>
      </c>
      <c r="G84" s="75" t="str">
        <f t="shared" si="21"/>
        <v/>
      </c>
      <c r="H84" s="75" t="str">
        <f t="shared" si="22"/>
        <v/>
      </c>
      <c r="I84" s="75" t="str">
        <f t="shared" si="23"/>
        <v/>
      </c>
      <c r="J84" s="74" t="str">
        <f t="shared" ca="1" si="24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6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8"/>
        <v>NEW</v>
      </c>
    </row>
    <row r="85" spans="1:36" ht="12.75">
      <c r="A85" s="6">
        <v>6.22</v>
      </c>
      <c r="B85" s="32" t="s">
        <v>32</v>
      </c>
      <c r="C85" s="33" t="s">
        <v>45</v>
      </c>
      <c r="D85" s="74"/>
      <c r="E85" s="75" t="str">
        <f t="shared" si="19"/>
        <v/>
      </c>
      <c r="F85" s="75" t="str">
        <f t="shared" si="20"/>
        <v/>
      </c>
      <c r="G85" s="75" t="str">
        <f t="shared" si="21"/>
        <v/>
      </c>
      <c r="H85" s="75" t="str">
        <f t="shared" si="22"/>
        <v/>
      </c>
      <c r="I85" s="75" t="str">
        <f t="shared" si="23"/>
        <v/>
      </c>
      <c r="J85" s="74" t="str">
        <f t="shared" ca="1" si="24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6"/>
        <v>input starter in column D</v>
      </c>
      <c r="Q85" s="5" t="str">
        <f t="shared" si="12"/>
        <v/>
      </c>
      <c r="R85" s="10">
        <v>3</v>
      </c>
      <c r="AJ85" s="33" t="str">
        <f t="shared" ca="1" si="18"/>
        <v>NEW</v>
      </c>
    </row>
    <row r="86" spans="1:36" ht="12.75">
      <c r="A86" s="6">
        <v>6.23</v>
      </c>
      <c r="B86" s="32" t="s">
        <v>32</v>
      </c>
      <c r="C86" s="33" t="s">
        <v>35</v>
      </c>
      <c r="D86" s="74"/>
      <c r="E86" s="75" t="str">
        <f t="shared" si="19"/>
        <v/>
      </c>
      <c r="F86" s="75" t="str">
        <f t="shared" si="20"/>
        <v/>
      </c>
      <c r="G86" s="75" t="str">
        <f t="shared" si="21"/>
        <v/>
      </c>
      <c r="H86" s="75" t="str">
        <f t="shared" si="22"/>
        <v/>
      </c>
      <c r="I86" s="75" t="str">
        <f t="shared" si="23"/>
        <v/>
      </c>
      <c r="J86" s="74" t="str">
        <f t="shared" ca="1" si="24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6"/>
        <v>input starter in column D</v>
      </c>
      <c r="Q86" s="5" t="str">
        <f t="shared" si="12"/>
        <v/>
      </c>
      <c r="R86" s="10">
        <v>2</v>
      </c>
      <c r="AJ86" s="33" t="str">
        <f t="shared" ca="1" si="18"/>
        <v>NEW</v>
      </c>
    </row>
    <row r="87" spans="1:36" ht="12.75">
      <c r="A87" s="6">
        <v>6.24</v>
      </c>
      <c r="B87" s="32" t="s">
        <v>32</v>
      </c>
      <c r="C87" s="33" t="s">
        <v>35</v>
      </c>
      <c r="D87" s="74"/>
      <c r="E87" s="75" t="str">
        <f t="shared" si="19"/>
        <v/>
      </c>
      <c r="F87" s="75" t="str">
        <f t="shared" si="20"/>
        <v/>
      </c>
      <c r="G87" s="75" t="str">
        <f t="shared" si="21"/>
        <v/>
      </c>
      <c r="H87" s="75" t="str">
        <f t="shared" si="22"/>
        <v/>
      </c>
      <c r="I87" s="75" t="str">
        <f t="shared" si="23"/>
        <v/>
      </c>
      <c r="J87" s="74" t="str">
        <f t="shared" ca="1" si="24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6"/>
        <v>input starter in column D</v>
      </c>
      <c r="Q87" s="5" t="str">
        <f t="shared" si="12"/>
        <v/>
      </c>
      <c r="R87" s="10">
        <v>4</v>
      </c>
      <c r="AJ87" s="33" t="str">
        <f t="shared" ca="1" si="18"/>
        <v>NEW</v>
      </c>
    </row>
    <row r="88" spans="1:36" ht="12.75">
      <c r="A88" s="6">
        <v>6.25</v>
      </c>
      <c r="B88" s="32" t="s">
        <v>32</v>
      </c>
      <c r="C88" s="33" t="s">
        <v>35</v>
      </c>
      <c r="D88" s="74"/>
      <c r="E88" s="75" t="str">
        <f t="shared" si="19"/>
        <v/>
      </c>
      <c r="F88" s="75" t="str">
        <f t="shared" si="20"/>
        <v/>
      </c>
      <c r="G88" s="75" t="str">
        <f t="shared" si="21"/>
        <v/>
      </c>
      <c r="H88" s="75" t="str">
        <f t="shared" si="22"/>
        <v/>
      </c>
      <c r="I88" s="75" t="str">
        <f t="shared" si="23"/>
        <v/>
      </c>
      <c r="J88" s="74" t="str">
        <f t="shared" ca="1" si="24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6"/>
        <v>input starter in column D</v>
      </c>
      <c r="Q88" s="5" t="str">
        <f t="shared" si="12"/>
        <v/>
      </c>
      <c r="R88" s="10">
        <v>5</v>
      </c>
      <c r="AJ88" s="33" t="str">
        <f t="shared" ca="1" si="18"/>
        <v>NEW</v>
      </c>
    </row>
    <row r="89" spans="1:36" ht="12.75">
      <c r="A89" s="6">
        <v>6.26</v>
      </c>
      <c r="B89" s="32" t="s">
        <v>32</v>
      </c>
      <c r="C89" s="33" t="s">
        <v>35</v>
      </c>
      <c r="D89" s="74"/>
      <c r="E89" s="75" t="str">
        <f t="shared" si="19"/>
        <v/>
      </c>
      <c r="F89" s="75" t="str">
        <f t="shared" si="20"/>
        <v/>
      </c>
      <c r="G89" s="75" t="str">
        <f t="shared" si="21"/>
        <v/>
      </c>
      <c r="H89" s="75" t="str">
        <f t="shared" si="22"/>
        <v/>
      </c>
      <c r="I89" s="75" t="str">
        <f t="shared" si="23"/>
        <v/>
      </c>
      <c r="J89" s="74" t="str">
        <f t="shared" ca="1" si="24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6"/>
        <v>input starter in column D</v>
      </c>
      <c r="Q89" s="5" t="str">
        <f t="shared" si="12"/>
        <v/>
      </c>
      <c r="R89" s="10">
        <v>1</v>
      </c>
      <c r="AJ89" s="33" t="str">
        <f t="shared" ca="1" si="18"/>
        <v>NEW</v>
      </c>
    </row>
    <row r="90" spans="1:36" ht="12.75">
      <c r="A90" s="6">
        <v>6.27</v>
      </c>
      <c r="B90" s="32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8"/>
        <v/>
      </c>
    </row>
    <row r="91" spans="1:36" ht="12.75">
      <c r="A91" s="6">
        <v>6.28</v>
      </c>
      <c r="B91" s="32" t="s">
        <v>32</v>
      </c>
      <c r="C91" s="33" t="s">
        <v>47</v>
      </c>
      <c r="D91" s="74"/>
      <c r="E91" s="75" t="str">
        <f t="shared" si="19"/>
        <v/>
      </c>
      <c r="F91" s="75" t="str">
        <f t="shared" si="20"/>
        <v/>
      </c>
      <c r="G91" s="75" t="str">
        <f t="shared" si="21"/>
        <v/>
      </c>
      <c r="H91" s="75" t="str">
        <f t="shared" si="22"/>
        <v/>
      </c>
      <c r="I91" s="75" t="str">
        <f t="shared" si="23"/>
        <v/>
      </c>
      <c r="J91" s="74" t="str">
        <f t="shared" ca="1" si="24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7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8"/>
        <v>NEW</v>
      </c>
    </row>
    <row r="92" spans="1:36" ht="12.75">
      <c r="A92" s="6">
        <v>6.29</v>
      </c>
      <c r="B92" s="32" t="s">
        <v>32</v>
      </c>
      <c r="C92" s="33" t="s">
        <v>47</v>
      </c>
      <c r="D92" s="74"/>
      <c r="E92" s="75" t="str">
        <f t="shared" si="19"/>
        <v/>
      </c>
      <c r="F92" s="75" t="str">
        <f t="shared" si="20"/>
        <v/>
      </c>
      <c r="G92" s="75" t="str">
        <f t="shared" si="21"/>
        <v/>
      </c>
      <c r="H92" s="75" t="str">
        <f t="shared" si="22"/>
        <v/>
      </c>
      <c r="I92" s="75" t="str">
        <f t="shared" si="23"/>
        <v/>
      </c>
      <c r="J92" s="74" t="str">
        <f t="shared" ca="1" si="24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7"/>
        <v>input starter in column D</v>
      </c>
      <c r="Q92" s="5" t="str">
        <f t="shared" si="12"/>
        <v/>
      </c>
      <c r="R92" s="10">
        <v>3</v>
      </c>
      <c r="AJ92" s="33" t="str">
        <f t="shared" ca="1" si="18"/>
        <v>NEW</v>
      </c>
    </row>
    <row r="93" spans="1:36" ht="12.75">
      <c r="A93" s="6">
        <v>6.3</v>
      </c>
      <c r="B93" s="32" t="s">
        <v>32</v>
      </c>
      <c r="C93" s="33" t="s">
        <v>47</v>
      </c>
      <c r="D93" s="74"/>
      <c r="E93" s="75" t="str">
        <f t="shared" si="19"/>
        <v/>
      </c>
      <c r="F93" s="75" t="str">
        <f t="shared" si="20"/>
        <v/>
      </c>
      <c r="G93" s="75" t="str">
        <f t="shared" si="21"/>
        <v/>
      </c>
      <c r="H93" s="75" t="str">
        <f t="shared" si="22"/>
        <v/>
      </c>
      <c r="I93" s="75" t="str">
        <f t="shared" si="23"/>
        <v/>
      </c>
      <c r="J93" s="74" t="str">
        <f t="shared" ca="1" si="24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7"/>
        <v>input starter in column D</v>
      </c>
      <c r="Q93" s="5" t="str">
        <f t="shared" si="12"/>
        <v/>
      </c>
      <c r="R93" s="10">
        <v>4</v>
      </c>
      <c r="AJ93" s="33" t="str">
        <f t="shared" ca="1" si="18"/>
        <v>NEW</v>
      </c>
    </row>
    <row r="94" spans="1:36" ht="12.75">
      <c r="A94" s="6">
        <v>7.01</v>
      </c>
      <c r="B94" s="32" t="s">
        <v>32</v>
      </c>
      <c r="C94" s="33" t="s">
        <v>53</v>
      </c>
      <c r="D94" s="74"/>
      <c r="E94" s="75" t="str">
        <f t="shared" si="19"/>
        <v/>
      </c>
      <c r="F94" s="75" t="str">
        <f t="shared" si="20"/>
        <v/>
      </c>
      <c r="G94" s="75" t="str">
        <f t="shared" si="21"/>
        <v/>
      </c>
      <c r="H94" s="75" t="str">
        <f t="shared" si="22"/>
        <v/>
      </c>
      <c r="I94" s="75" t="str">
        <f t="shared" si="23"/>
        <v/>
      </c>
      <c r="J94" s="74" t="str">
        <f t="shared" ca="1" si="24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7"/>
        <v>input starter in column D</v>
      </c>
      <c r="Q94" s="5" t="str">
        <f t="shared" si="12"/>
        <v/>
      </c>
      <c r="R94" s="10">
        <v>1</v>
      </c>
      <c r="AJ94" s="33" t="str">
        <f t="shared" ca="1" si="18"/>
        <v>NEW</v>
      </c>
    </row>
    <row r="95" spans="1:36" ht="12.75">
      <c r="A95" s="6">
        <v>7.02</v>
      </c>
      <c r="B95" s="32" t="s">
        <v>32</v>
      </c>
      <c r="C95" s="33" t="s">
        <v>53</v>
      </c>
      <c r="D95" s="74"/>
      <c r="E95" s="75" t="str">
        <f t="shared" si="19"/>
        <v/>
      </c>
      <c r="F95" s="75" t="str">
        <f t="shared" si="20"/>
        <v/>
      </c>
      <c r="G95" s="75" t="str">
        <f t="shared" si="21"/>
        <v/>
      </c>
      <c r="H95" s="75" t="str">
        <f t="shared" si="22"/>
        <v/>
      </c>
      <c r="I95" s="75" t="str">
        <f t="shared" si="23"/>
        <v/>
      </c>
      <c r="J95" s="74" t="str">
        <f t="shared" ca="1" si="24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7"/>
        <v>input starter in column D</v>
      </c>
      <c r="Q95" s="5" t="str">
        <f t="shared" si="12"/>
        <v/>
      </c>
      <c r="R95" s="10">
        <v>5</v>
      </c>
      <c r="AJ95" s="33" t="str">
        <f t="shared" ca="1" si="18"/>
        <v>NEW</v>
      </c>
    </row>
    <row r="96" spans="1:36" ht="12.75">
      <c r="A96" s="6">
        <v>7.03</v>
      </c>
      <c r="B96" s="32" t="s">
        <v>32</v>
      </c>
      <c r="C96" s="33" t="s">
        <v>53</v>
      </c>
      <c r="D96" s="74"/>
      <c r="E96" s="75" t="str">
        <f t="shared" si="19"/>
        <v/>
      </c>
      <c r="F96" s="75" t="str">
        <f t="shared" si="20"/>
        <v/>
      </c>
      <c r="G96" s="75" t="str">
        <f t="shared" si="21"/>
        <v/>
      </c>
      <c r="H96" s="75" t="str">
        <f t="shared" si="22"/>
        <v/>
      </c>
      <c r="I96" s="75" t="str">
        <f t="shared" si="23"/>
        <v/>
      </c>
      <c r="J96" s="74" t="str">
        <f t="shared" ca="1" si="24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7"/>
        <v>input starter in column D</v>
      </c>
      <c r="Q96" s="5" t="str">
        <f t="shared" si="12"/>
        <v/>
      </c>
      <c r="R96" s="10">
        <v>2</v>
      </c>
      <c r="AJ96" s="33" t="str">
        <f t="shared" ca="1" si="18"/>
        <v>NEW</v>
      </c>
    </row>
    <row r="97" spans="1:36" ht="12.75">
      <c r="A97" s="6">
        <v>7.04</v>
      </c>
      <c r="B97" s="32"/>
      <c r="C97" s="33" t="s">
        <v>33</v>
      </c>
      <c r="D97" s="74"/>
      <c r="E97" s="75" t="str">
        <f t="shared" si="19"/>
        <v/>
      </c>
      <c r="F97" s="75" t="str">
        <f t="shared" si="20"/>
        <v/>
      </c>
      <c r="G97" s="75" t="str">
        <f t="shared" si="21"/>
        <v/>
      </c>
      <c r="H97" s="75" t="str">
        <f t="shared" si="22"/>
        <v/>
      </c>
      <c r="I97" s="75" t="str">
        <f t="shared" si="23"/>
        <v/>
      </c>
      <c r="J97" s="74" t="str">
        <f t="shared" ca="1" si="24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7"/>
        <v>input starter in column D</v>
      </c>
      <c r="Q97" s="5" t="str">
        <f t="shared" ref="Q97:Q160" si="28">IF(P97="not enough rest","input a DIFFERENT starter in column C","")</f>
        <v/>
      </c>
      <c r="R97" s="10">
        <v>3</v>
      </c>
      <c r="AJ97" s="33" t="str">
        <f t="shared" ca="1" si="18"/>
        <v>NEW</v>
      </c>
    </row>
    <row r="98" spans="1:36" ht="12.75">
      <c r="A98" s="6">
        <v>7.05</v>
      </c>
      <c r="B98" s="32"/>
      <c r="C98" s="33" t="s">
        <v>33</v>
      </c>
      <c r="D98" s="74"/>
      <c r="E98" s="75" t="str">
        <f t="shared" si="19"/>
        <v/>
      </c>
      <c r="F98" s="75" t="str">
        <f t="shared" si="20"/>
        <v/>
      </c>
      <c r="G98" s="75" t="str">
        <f t="shared" si="21"/>
        <v/>
      </c>
      <c r="H98" s="75" t="str">
        <f t="shared" si="22"/>
        <v/>
      </c>
      <c r="I98" s="75" t="str">
        <f t="shared" si="23"/>
        <v/>
      </c>
      <c r="J98" s="74" t="str">
        <f t="shared" ca="1" si="24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7"/>
        <v>input starter in column D</v>
      </c>
      <c r="Q98" s="5" t="str">
        <f t="shared" si="28"/>
        <v/>
      </c>
      <c r="R98" s="10">
        <v>4</v>
      </c>
      <c r="AJ98" s="33" t="str">
        <f t="shared" ca="1" si="18"/>
        <v>NEW</v>
      </c>
    </row>
    <row r="99" spans="1:36" ht="12.75">
      <c r="A99" s="6">
        <v>7.06</v>
      </c>
      <c r="B99" s="32"/>
      <c r="C99" s="33" t="s">
        <v>33</v>
      </c>
      <c r="D99" s="74"/>
      <c r="E99" s="75" t="str">
        <f t="shared" si="19"/>
        <v/>
      </c>
      <c r="F99" s="75" t="str">
        <f t="shared" si="20"/>
        <v/>
      </c>
      <c r="G99" s="75" t="str">
        <f t="shared" si="21"/>
        <v/>
      </c>
      <c r="H99" s="75" t="str">
        <f t="shared" si="22"/>
        <v/>
      </c>
      <c r="I99" s="75" t="str">
        <f t="shared" si="23"/>
        <v/>
      </c>
      <c r="J99" s="74" t="str">
        <f t="shared" ca="1" si="24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7"/>
        <v>input starter in column D</v>
      </c>
      <c r="Q99" s="5" t="str">
        <f t="shared" si="28"/>
        <v/>
      </c>
      <c r="R99" s="10">
        <v>1</v>
      </c>
      <c r="AJ99" s="33" t="str">
        <f t="shared" ref="AJ99:AJ130" ca="1" si="29">IF(ISERROR((INDIRECT(""&amp;$C99&amp;"!c"&amp;ROW(C99)))),"",(INDIRECT(""&amp;$C99&amp;"!c"&amp;ROW(C99))))</f>
        <v>NEW</v>
      </c>
    </row>
    <row r="100" spans="1:36" ht="12.75">
      <c r="A100" s="6">
        <v>7.07</v>
      </c>
      <c r="B100" s="32" t="s">
        <v>32</v>
      </c>
      <c r="C100" s="33" t="s">
        <v>1919</v>
      </c>
      <c r="D100" s="74"/>
      <c r="E100" s="75" t="str">
        <f t="shared" si="19"/>
        <v/>
      </c>
      <c r="F100" s="75" t="str">
        <f t="shared" si="20"/>
        <v/>
      </c>
      <c r="G100" s="75" t="str">
        <f t="shared" si="21"/>
        <v/>
      </c>
      <c r="H100" s="75" t="str">
        <f t="shared" si="22"/>
        <v/>
      </c>
      <c r="I100" s="75" t="str">
        <f t="shared" si="23"/>
        <v/>
      </c>
      <c r="J100" s="74" t="str">
        <f t="shared" ca="1" si="24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7"/>
        <v>input starter in column D</v>
      </c>
      <c r="Q100" s="5" t="str">
        <f t="shared" si="28"/>
        <v/>
      </c>
      <c r="R100" s="10">
        <v>5</v>
      </c>
      <c r="AJ100" s="33" t="str">
        <f t="shared" ca="1" si="29"/>
        <v>NEW</v>
      </c>
    </row>
    <row r="101" spans="1:36" ht="12.75">
      <c r="A101" s="6">
        <v>7.08</v>
      </c>
      <c r="B101" s="32" t="s">
        <v>32</v>
      </c>
      <c r="C101" s="33" t="s">
        <v>1919</v>
      </c>
      <c r="D101" s="74"/>
      <c r="E101" s="75" t="str">
        <f t="shared" si="19"/>
        <v/>
      </c>
      <c r="F101" s="75" t="str">
        <f t="shared" si="20"/>
        <v/>
      </c>
      <c r="G101" s="75" t="str">
        <f t="shared" si="21"/>
        <v/>
      </c>
      <c r="H101" s="75" t="str">
        <f t="shared" si="22"/>
        <v/>
      </c>
      <c r="I101" s="75" t="str">
        <f t="shared" si="23"/>
        <v/>
      </c>
      <c r="J101" s="74" t="str">
        <f t="shared" ca="1" si="24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7"/>
        <v>input starter in column D</v>
      </c>
      <c r="Q101" s="5" t="str">
        <f t="shared" si="28"/>
        <v/>
      </c>
      <c r="R101" s="10">
        <v>2</v>
      </c>
      <c r="AJ101" s="33" t="str">
        <f t="shared" ca="1" si="29"/>
        <v>NEW</v>
      </c>
    </row>
    <row r="102" spans="1:36" ht="12.75">
      <c r="A102" s="6">
        <v>7.09</v>
      </c>
      <c r="B102" s="32" t="s">
        <v>32</v>
      </c>
      <c r="C102" s="33" t="s">
        <v>1919</v>
      </c>
      <c r="D102" s="74"/>
      <c r="E102" s="75" t="str">
        <f t="shared" si="19"/>
        <v/>
      </c>
      <c r="F102" s="75" t="str">
        <f t="shared" si="20"/>
        <v/>
      </c>
      <c r="G102" s="75" t="str">
        <f t="shared" si="21"/>
        <v/>
      </c>
      <c r="H102" s="75" t="str">
        <f t="shared" si="22"/>
        <v/>
      </c>
      <c r="I102" s="75" t="str">
        <f t="shared" si="23"/>
        <v/>
      </c>
      <c r="J102" s="74" t="str">
        <f t="shared" ca="1" si="24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7"/>
        <v>input starter in column D</v>
      </c>
      <c r="Q102" s="5" t="str">
        <f t="shared" si="28"/>
        <v/>
      </c>
      <c r="R102" s="10">
        <v>3</v>
      </c>
      <c r="AJ102" s="33" t="str">
        <f t="shared" ca="1" si="29"/>
        <v>NEW</v>
      </c>
    </row>
    <row r="103" spans="1:36" ht="12.75">
      <c r="A103" s="6">
        <v>7.1</v>
      </c>
      <c r="B103" s="32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29"/>
        <v/>
      </c>
    </row>
    <row r="104" spans="1:36" ht="12.75">
      <c r="A104" s="6">
        <v>7.11</v>
      </c>
      <c r="B104" s="32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29"/>
        <v/>
      </c>
    </row>
    <row r="105" spans="1:36" ht="12.75">
      <c r="A105" s="6">
        <v>7.12</v>
      </c>
      <c r="B105" s="32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29"/>
        <v/>
      </c>
    </row>
    <row r="106" spans="1:36" ht="12.75">
      <c r="A106" s="6">
        <v>7.13</v>
      </c>
      <c r="B106" s="32"/>
      <c r="C106" s="33" t="s">
        <v>43</v>
      </c>
      <c r="D106" s="74"/>
      <c r="E106" s="75" t="str">
        <f t="shared" si="19"/>
        <v/>
      </c>
      <c r="F106" s="75" t="str">
        <f t="shared" si="20"/>
        <v/>
      </c>
      <c r="G106" s="75" t="str">
        <f t="shared" si="21"/>
        <v/>
      </c>
      <c r="H106" s="75" t="str">
        <f t="shared" si="22"/>
        <v/>
      </c>
      <c r="I106" s="75" t="str">
        <f t="shared" si="23"/>
        <v/>
      </c>
      <c r="J106" s="74" t="str">
        <f t="shared" ca="1" si="24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30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8"/>
        <v/>
      </c>
      <c r="R106" s="10">
        <v>1</v>
      </c>
      <c r="AJ106" s="33" t="str">
        <f t="shared" ca="1" si="29"/>
        <v>NEW</v>
      </c>
    </row>
    <row r="107" spans="1:36" ht="12.75">
      <c r="A107" s="6">
        <v>7.14</v>
      </c>
      <c r="B107" s="32"/>
      <c r="C107" s="33" t="s">
        <v>43</v>
      </c>
      <c r="D107" s="74"/>
      <c r="E107" s="75" t="str">
        <f t="shared" si="19"/>
        <v/>
      </c>
      <c r="F107" s="75" t="str">
        <f t="shared" si="20"/>
        <v/>
      </c>
      <c r="G107" s="75" t="str">
        <f t="shared" si="21"/>
        <v/>
      </c>
      <c r="H107" s="75" t="str">
        <f t="shared" si="22"/>
        <v/>
      </c>
      <c r="I107" s="75" t="str">
        <f t="shared" si="23"/>
        <v/>
      </c>
      <c r="J107" s="74" t="str">
        <f t="shared" ca="1" si="24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30"/>
        <v>input starter in column D</v>
      </c>
      <c r="Q107" s="5" t="str">
        <f t="shared" si="28"/>
        <v/>
      </c>
      <c r="R107" s="10">
        <v>2</v>
      </c>
      <c r="AJ107" s="33" t="str">
        <f t="shared" ca="1" si="29"/>
        <v>NEW</v>
      </c>
    </row>
    <row r="108" spans="1:36" ht="12.75">
      <c r="A108" s="6">
        <v>7.15</v>
      </c>
      <c r="B108" s="32"/>
      <c r="C108" s="33" t="s">
        <v>43</v>
      </c>
      <c r="D108" s="74"/>
      <c r="E108" s="75" t="str">
        <f t="shared" si="19"/>
        <v/>
      </c>
      <c r="F108" s="75" t="str">
        <f t="shared" si="20"/>
        <v/>
      </c>
      <c r="G108" s="75" t="str">
        <f t="shared" si="21"/>
        <v/>
      </c>
      <c r="H108" s="75" t="str">
        <f t="shared" si="22"/>
        <v/>
      </c>
      <c r="I108" s="75" t="str">
        <f t="shared" si="23"/>
        <v/>
      </c>
      <c r="J108" s="74" t="str">
        <f t="shared" ca="1" si="24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30"/>
        <v>input starter in column D</v>
      </c>
      <c r="Q108" s="5" t="str">
        <f t="shared" si="28"/>
        <v/>
      </c>
      <c r="R108" s="10">
        <v>3</v>
      </c>
      <c r="AJ108" s="33" t="str">
        <f t="shared" ca="1" si="29"/>
        <v>NEW</v>
      </c>
    </row>
    <row r="109" spans="1:36" ht="12.75">
      <c r="A109" s="6">
        <v>7.16</v>
      </c>
      <c r="B109" s="32" t="s">
        <v>32</v>
      </c>
      <c r="C109" s="33" t="s">
        <v>34</v>
      </c>
      <c r="D109" s="74"/>
      <c r="E109" s="75" t="str">
        <f t="shared" si="19"/>
        <v/>
      </c>
      <c r="F109" s="75" t="str">
        <f t="shared" si="20"/>
        <v/>
      </c>
      <c r="G109" s="75" t="str">
        <f t="shared" si="21"/>
        <v/>
      </c>
      <c r="H109" s="75" t="str">
        <f t="shared" si="22"/>
        <v/>
      </c>
      <c r="I109" s="75" t="str">
        <f t="shared" si="23"/>
        <v/>
      </c>
      <c r="J109" s="74" t="str">
        <f t="shared" ca="1" si="24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30"/>
        <v>input starter in column D</v>
      </c>
      <c r="Q109" s="5" t="str">
        <f t="shared" si="28"/>
        <v/>
      </c>
      <c r="R109" s="10">
        <v>4</v>
      </c>
      <c r="AJ109" s="33" t="str">
        <f t="shared" ca="1" si="29"/>
        <v>NEW</v>
      </c>
    </row>
    <row r="110" spans="1:36" ht="12.75">
      <c r="A110" s="6">
        <v>7.17</v>
      </c>
      <c r="B110" s="32" t="s">
        <v>32</v>
      </c>
      <c r="C110" s="33" t="s">
        <v>34</v>
      </c>
      <c r="D110" s="74"/>
      <c r="E110" s="75" t="str">
        <f t="shared" si="19"/>
        <v/>
      </c>
      <c r="F110" s="75" t="str">
        <f t="shared" si="20"/>
        <v/>
      </c>
      <c r="G110" s="75" t="str">
        <f t="shared" si="21"/>
        <v/>
      </c>
      <c r="H110" s="75" t="str">
        <f t="shared" si="22"/>
        <v/>
      </c>
      <c r="I110" s="75" t="str">
        <f t="shared" si="23"/>
        <v/>
      </c>
      <c r="J110" s="74" t="str">
        <f t="shared" ca="1" si="24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30"/>
        <v>input starter in column D</v>
      </c>
      <c r="Q110" s="5" t="str">
        <f t="shared" si="28"/>
        <v/>
      </c>
      <c r="R110" s="10">
        <v>5</v>
      </c>
      <c r="AJ110" s="33" t="str">
        <f t="shared" ca="1" si="29"/>
        <v>NEW</v>
      </c>
    </row>
    <row r="111" spans="1:36" ht="12.75">
      <c r="A111" s="6">
        <v>7.18</v>
      </c>
      <c r="B111" s="32" t="s">
        <v>32</v>
      </c>
      <c r="C111" s="33" t="s">
        <v>34</v>
      </c>
      <c r="D111" s="74"/>
      <c r="E111" s="75" t="str">
        <f t="shared" si="19"/>
        <v/>
      </c>
      <c r="F111" s="75" t="str">
        <f t="shared" si="20"/>
        <v/>
      </c>
      <c r="G111" s="75" t="str">
        <f t="shared" si="21"/>
        <v/>
      </c>
      <c r="H111" s="75" t="str">
        <f t="shared" si="22"/>
        <v/>
      </c>
      <c r="I111" s="75" t="str">
        <f t="shared" si="23"/>
        <v/>
      </c>
      <c r="J111" s="74" t="str">
        <f t="shared" ca="1" si="24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30"/>
        <v>input starter in column D</v>
      </c>
      <c r="Q111" s="5" t="str">
        <f t="shared" si="28"/>
        <v/>
      </c>
      <c r="R111" s="10">
        <v>1</v>
      </c>
      <c r="AJ111" s="33" t="str">
        <f t="shared" ca="1" si="29"/>
        <v>NEW</v>
      </c>
    </row>
    <row r="112" spans="1:36" ht="12.75">
      <c r="A112" s="6">
        <v>7.19</v>
      </c>
      <c r="B112" s="34"/>
      <c r="C112" s="33" t="s">
        <v>41</v>
      </c>
      <c r="D112" s="74"/>
      <c r="E112" s="75" t="str">
        <f t="shared" si="19"/>
        <v/>
      </c>
      <c r="F112" s="75" t="str">
        <f t="shared" si="20"/>
        <v/>
      </c>
      <c r="G112" s="75" t="str">
        <f t="shared" si="21"/>
        <v/>
      </c>
      <c r="H112" s="75" t="str">
        <f t="shared" si="22"/>
        <v/>
      </c>
      <c r="I112" s="75" t="str">
        <f t="shared" si="23"/>
        <v/>
      </c>
      <c r="J112" s="74" t="str">
        <f t="shared" ca="1" si="24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30"/>
        <v>input starter in column D</v>
      </c>
      <c r="Q112" s="5" t="str">
        <f t="shared" si="28"/>
        <v/>
      </c>
      <c r="R112" s="10">
        <v>2</v>
      </c>
      <c r="AJ112" s="33" t="str">
        <f t="shared" ca="1" si="29"/>
        <v>NEW</v>
      </c>
    </row>
    <row r="113" spans="1:36" ht="12.75">
      <c r="A113" s="6">
        <v>7.2</v>
      </c>
      <c r="B113" s="34"/>
      <c r="C113" s="33" t="s">
        <v>41</v>
      </c>
      <c r="D113" s="74"/>
      <c r="E113" s="75" t="str">
        <f t="shared" si="19"/>
        <v/>
      </c>
      <c r="F113" s="75" t="str">
        <f t="shared" si="20"/>
        <v/>
      </c>
      <c r="G113" s="75" t="str">
        <f t="shared" si="21"/>
        <v/>
      </c>
      <c r="H113" s="75" t="str">
        <f t="shared" si="22"/>
        <v/>
      </c>
      <c r="I113" s="75" t="str">
        <f t="shared" si="23"/>
        <v/>
      </c>
      <c r="J113" s="74" t="str">
        <f t="shared" ca="1" si="24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30"/>
        <v>input starter in column D</v>
      </c>
      <c r="Q113" s="5" t="str">
        <f t="shared" si="28"/>
        <v/>
      </c>
      <c r="R113" s="10">
        <v>3</v>
      </c>
      <c r="AJ113" s="33" t="str">
        <f t="shared" ca="1" si="29"/>
        <v>NEW</v>
      </c>
    </row>
    <row r="114" spans="1:36" ht="12.75">
      <c r="A114" s="6">
        <v>7.21</v>
      </c>
      <c r="B114" s="34"/>
      <c r="C114" s="33" t="s">
        <v>41</v>
      </c>
      <c r="D114" s="74"/>
      <c r="E114" s="75" t="str">
        <f t="shared" si="19"/>
        <v/>
      </c>
      <c r="F114" s="75" t="str">
        <f t="shared" si="20"/>
        <v/>
      </c>
      <c r="G114" s="75" t="str">
        <f t="shared" si="21"/>
        <v/>
      </c>
      <c r="H114" s="75" t="str">
        <f t="shared" si="22"/>
        <v/>
      </c>
      <c r="I114" s="75" t="str">
        <f t="shared" si="23"/>
        <v/>
      </c>
      <c r="J114" s="74" t="str">
        <f t="shared" ca="1" si="24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30"/>
        <v>input starter in column D</v>
      </c>
      <c r="Q114" s="5" t="str">
        <f t="shared" si="28"/>
        <v/>
      </c>
      <c r="R114" s="10">
        <v>4</v>
      </c>
      <c r="AJ114" s="33" t="str">
        <f t="shared" ca="1" si="29"/>
        <v>NEW</v>
      </c>
    </row>
    <row r="115" spans="1:36" ht="12.75">
      <c r="A115" s="6">
        <v>7.22</v>
      </c>
      <c r="B115" s="34"/>
      <c r="C115" s="33" t="s">
        <v>41</v>
      </c>
      <c r="D115" s="74"/>
      <c r="E115" s="75" t="str">
        <f t="shared" si="19"/>
        <v/>
      </c>
      <c r="F115" s="75" t="str">
        <f t="shared" si="20"/>
        <v/>
      </c>
      <c r="G115" s="75" t="str">
        <f t="shared" si="21"/>
        <v/>
      </c>
      <c r="H115" s="75" t="str">
        <f t="shared" si="22"/>
        <v/>
      </c>
      <c r="I115" s="75" t="str">
        <f t="shared" si="23"/>
        <v/>
      </c>
      <c r="J115" s="74" t="str">
        <f t="shared" ca="1" si="24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30"/>
        <v>input starter in column D</v>
      </c>
      <c r="Q115" s="5" t="str">
        <f t="shared" si="28"/>
        <v/>
      </c>
      <c r="R115" s="10">
        <v>5</v>
      </c>
      <c r="AJ115" s="33" t="str">
        <f t="shared" ca="1" si="29"/>
        <v>NEW</v>
      </c>
    </row>
    <row r="116" spans="1:36" ht="12.75">
      <c r="A116" s="6">
        <v>7.23</v>
      </c>
      <c r="B116" s="32"/>
      <c r="C116" s="33" t="s">
        <v>17</v>
      </c>
      <c r="D116" s="74"/>
      <c r="E116" s="75" t="str">
        <f t="shared" si="19"/>
        <v/>
      </c>
      <c r="F116" s="75" t="str">
        <f t="shared" si="20"/>
        <v/>
      </c>
      <c r="G116" s="75" t="str">
        <f t="shared" si="21"/>
        <v/>
      </c>
      <c r="H116" s="75" t="str">
        <f t="shared" si="22"/>
        <v/>
      </c>
      <c r="I116" s="75" t="str">
        <f t="shared" si="23"/>
        <v/>
      </c>
      <c r="J116" s="74" t="str">
        <f t="shared" ca="1" si="24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30"/>
        <v>input starter in column D</v>
      </c>
      <c r="Q116" s="5" t="str">
        <f t="shared" si="28"/>
        <v/>
      </c>
      <c r="R116" s="10">
        <v>1</v>
      </c>
      <c r="AJ116" s="33" t="str">
        <f t="shared" ca="1" si="29"/>
        <v>NEW</v>
      </c>
    </row>
    <row r="117" spans="1:36" ht="12.75">
      <c r="A117" s="6">
        <v>7.24</v>
      </c>
      <c r="B117" s="32"/>
      <c r="C117" s="33" t="s">
        <v>17</v>
      </c>
      <c r="D117" s="74"/>
      <c r="E117" s="75" t="str">
        <f t="shared" si="19"/>
        <v/>
      </c>
      <c r="F117" s="75" t="str">
        <f t="shared" si="20"/>
        <v/>
      </c>
      <c r="G117" s="75" t="str">
        <f t="shared" si="21"/>
        <v/>
      </c>
      <c r="H117" s="75" t="str">
        <f t="shared" si="22"/>
        <v/>
      </c>
      <c r="I117" s="75" t="str">
        <f t="shared" si="23"/>
        <v/>
      </c>
      <c r="J117" s="74" t="str">
        <f t="shared" ca="1" si="24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30"/>
        <v>input starter in column D</v>
      </c>
      <c r="Q117" s="5" t="str">
        <f t="shared" si="28"/>
        <v/>
      </c>
      <c r="R117" s="10">
        <v>2</v>
      </c>
      <c r="AJ117" s="33" t="str">
        <f t="shared" ca="1" si="29"/>
        <v>NEW</v>
      </c>
    </row>
    <row r="118" spans="1:36" ht="12.75">
      <c r="A118" s="6">
        <v>7.25</v>
      </c>
      <c r="B118" s="32"/>
      <c r="C118" s="33" t="s">
        <v>17</v>
      </c>
      <c r="D118" s="74"/>
      <c r="E118" s="75" t="str">
        <f t="shared" si="19"/>
        <v/>
      </c>
      <c r="F118" s="75" t="str">
        <f t="shared" si="20"/>
        <v/>
      </c>
      <c r="G118" s="75" t="str">
        <f t="shared" si="21"/>
        <v/>
      </c>
      <c r="H118" s="75" t="str">
        <f t="shared" si="22"/>
        <v/>
      </c>
      <c r="I118" s="75" t="str">
        <f t="shared" si="23"/>
        <v/>
      </c>
      <c r="J118" s="74" t="str">
        <f t="shared" ca="1" si="24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30"/>
        <v>input starter in column D</v>
      </c>
      <c r="Q118" s="5" t="str">
        <f t="shared" si="28"/>
        <v/>
      </c>
      <c r="R118" s="10">
        <v>3</v>
      </c>
      <c r="AJ118" s="33" t="str">
        <f t="shared" ca="1" si="29"/>
        <v>NEW</v>
      </c>
    </row>
    <row r="119" spans="1:36" ht="12.75">
      <c r="A119" s="6">
        <v>7.26</v>
      </c>
      <c r="B119" s="32"/>
      <c r="C119" s="33" t="s">
        <v>17</v>
      </c>
      <c r="D119" s="74"/>
      <c r="E119" s="75" t="str">
        <f t="shared" si="19"/>
        <v/>
      </c>
      <c r="F119" s="75" t="str">
        <f t="shared" si="20"/>
        <v/>
      </c>
      <c r="G119" s="75" t="str">
        <f t="shared" si="21"/>
        <v/>
      </c>
      <c r="H119" s="75" t="str">
        <f t="shared" si="22"/>
        <v/>
      </c>
      <c r="I119" s="75" t="str">
        <f t="shared" si="23"/>
        <v/>
      </c>
      <c r="J119" s="74" t="str">
        <f t="shared" ca="1" si="24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30"/>
        <v>input starter in column D</v>
      </c>
      <c r="Q119" s="5" t="str">
        <f t="shared" si="28"/>
        <v/>
      </c>
      <c r="R119" s="10">
        <v>4</v>
      </c>
      <c r="AJ119" s="33" t="str">
        <f t="shared" ca="1" si="29"/>
        <v>NEW</v>
      </c>
    </row>
    <row r="120" spans="1:36" ht="12.75">
      <c r="A120" s="6">
        <v>7.27</v>
      </c>
      <c r="B120" s="32" t="s">
        <v>32</v>
      </c>
      <c r="C120" s="33" t="s">
        <v>16</v>
      </c>
      <c r="D120" s="74"/>
      <c r="E120" s="75" t="str">
        <f t="shared" si="19"/>
        <v/>
      </c>
      <c r="F120" s="75" t="str">
        <f t="shared" si="20"/>
        <v/>
      </c>
      <c r="G120" s="75" t="str">
        <f t="shared" si="21"/>
        <v/>
      </c>
      <c r="H120" s="75" t="str">
        <f t="shared" si="22"/>
        <v/>
      </c>
      <c r="I120" s="75" t="str">
        <f t="shared" si="23"/>
        <v/>
      </c>
      <c r="J120" s="74" t="str">
        <f t="shared" ca="1" si="24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30"/>
        <v>input starter in column D</v>
      </c>
      <c r="Q120" s="5" t="str">
        <f t="shared" si="28"/>
        <v/>
      </c>
      <c r="R120" s="10">
        <v>5</v>
      </c>
      <c r="AJ120" s="33" t="str">
        <f t="shared" ca="1" si="29"/>
        <v>NEW</v>
      </c>
    </row>
    <row r="121" spans="1:36" ht="12.75">
      <c r="A121" s="6">
        <v>7.28</v>
      </c>
      <c r="B121" s="32" t="s">
        <v>32</v>
      </c>
      <c r="C121" s="33" t="s">
        <v>16</v>
      </c>
      <c r="D121" s="74"/>
      <c r="E121" s="75" t="str">
        <f t="shared" si="19"/>
        <v/>
      </c>
      <c r="F121" s="75" t="str">
        <f t="shared" si="20"/>
        <v/>
      </c>
      <c r="G121" s="75" t="str">
        <f t="shared" si="21"/>
        <v/>
      </c>
      <c r="H121" s="75" t="str">
        <f t="shared" si="22"/>
        <v/>
      </c>
      <c r="I121" s="75" t="str">
        <f t="shared" si="23"/>
        <v/>
      </c>
      <c r="J121" s="74" t="str">
        <f t="shared" ca="1" si="24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30"/>
        <v>input starter in column D</v>
      </c>
      <c r="Q121" s="5" t="str">
        <f t="shared" si="28"/>
        <v/>
      </c>
      <c r="R121" s="10">
        <v>1</v>
      </c>
      <c r="AJ121" s="33" t="str">
        <f t="shared" ca="1" si="29"/>
        <v>NEW</v>
      </c>
    </row>
    <row r="122" spans="1:36" ht="12.75">
      <c r="A122" s="6">
        <v>7.29</v>
      </c>
      <c r="B122" s="32" t="s">
        <v>32</v>
      </c>
      <c r="C122" s="33" t="s">
        <v>16</v>
      </c>
      <c r="D122" s="74"/>
      <c r="E122" s="75" t="str">
        <f t="shared" si="19"/>
        <v/>
      </c>
      <c r="F122" s="75" t="str">
        <f t="shared" si="20"/>
        <v/>
      </c>
      <c r="G122" s="75" t="str">
        <f t="shared" si="21"/>
        <v/>
      </c>
      <c r="H122" s="75" t="str">
        <f t="shared" si="22"/>
        <v/>
      </c>
      <c r="I122" s="75" t="str">
        <f t="shared" si="23"/>
        <v/>
      </c>
      <c r="J122" s="74" t="str">
        <f t="shared" ca="1" si="24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30"/>
        <v>input starter in column D</v>
      </c>
      <c r="Q122" s="5" t="str">
        <f t="shared" si="28"/>
        <v/>
      </c>
      <c r="R122" s="10">
        <v>2</v>
      </c>
      <c r="AJ122" s="33" t="str">
        <f t="shared" ca="1" si="29"/>
        <v>NEW</v>
      </c>
    </row>
    <row r="123" spans="1:36" ht="12.75">
      <c r="A123" s="6">
        <v>7.3</v>
      </c>
      <c r="B123" s="32" t="s">
        <v>32</v>
      </c>
      <c r="C123" s="33" t="s">
        <v>16</v>
      </c>
      <c r="D123" s="74"/>
      <c r="E123" s="75" t="str">
        <f t="shared" si="19"/>
        <v/>
      </c>
      <c r="F123" s="75" t="str">
        <f t="shared" si="20"/>
        <v/>
      </c>
      <c r="G123" s="75" t="str">
        <f t="shared" si="21"/>
        <v/>
      </c>
      <c r="H123" s="75" t="str">
        <f t="shared" si="22"/>
        <v/>
      </c>
      <c r="I123" s="75" t="str">
        <f t="shared" si="23"/>
        <v/>
      </c>
      <c r="J123" s="74" t="str">
        <f t="shared" ca="1" si="24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30"/>
        <v>input starter in column D</v>
      </c>
      <c r="Q123" s="5" t="str">
        <f t="shared" si="28"/>
        <v/>
      </c>
      <c r="R123" s="10">
        <v>3</v>
      </c>
      <c r="AJ123" s="33" t="str">
        <f t="shared" ca="1" si="29"/>
        <v>NEW</v>
      </c>
    </row>
    <row r="124" spans="1:36" ht="12.75">
      <c r="A124" s="6">
        <v>7.31</v>
      </c>
      <c r="B124" s="32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29"/>
        <v/>
      </c>
    </row>
    <row r="125" spans="1:36" ht="12.75">
      <c r="A125" s="6">
        <v>8.01</v>
      </c>
      <c r="B125" s="32" t="s">
        <v>32</v>
      </c>
      <c r="C125" s="33" t="s">
        <v>1917</v>
      </c>
      <c r="D125" s="74"/>
      <c r="E125" s="75" t="str">
        <f t="shared" si="19"/>
        <v/>
      </c>
      <c r="F125" s="75" t="str">
        <f t="shared" si="20"/>
        <v/>
      </c>
      <c r="G125" s="75" t="str">
        <f t="shared" si="21"/>
        <v/>
      </c>
      <c r="H125" s="75" t="str">
        <f t="shared" si="22"/>
        <v/>
      </c>
      <c r="I125" s="75" t="str">
        <f t="shared" si="23"/>
        <v/>
      </c>
      <c r="J125" s="74" t="str">
        <f t="shared" ca="1" si="24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31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8"/>
        <v/>
      </c>
      <c r="R125" s="10">
        <v>4</v>
      </c>
      <c r="AJ125" s="33" t="str">
        <f t="shared" ca="1" si="29"/>
        <v>NEW</v>
      </c>
    </row>
    <row r="126" spans="1:36" ht="12.75">
      <c r="A126" s="6">
        <v>8.02</v>
      </c>
      <c r="B126" s="32" t="s">
        <v>32</v>
      </c>
      <c r="C126" s="33" t="s">
        <v>1917</v>
      </c>
      <c r="D126" s="74"/>
      <c r="E126" s="75" t="str">
        <f t="shared" si="19"/>
        <v/>
      </c>
      <c r="F126" s="75" t="str">
        <f t="shared" si="20"/>
        <v/>
      </c>
      <c r="G126" s="75" t="str">
        <f t="shared" si="21"/>
        <v/>
      </c>
      <c r="H126" s="75" t="str">
        <f t="shared" si="22"/>
        <v/>
      </c>
      <c r="I126" s="75" t="str">
        <f t="shared" si="23"/>
        <v/>
      </c>
      <c r="J126" s="74" t="str">
        <f t="shared" ca="1" si="24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31"/>
        <v>input starter in column D</v>
      </c>
      <c r="Q126" s="5" t="str">
        <f t="shared" si="28"/>
        <v/>
      </c>
      <c r="R126" s="10">
        <v>1</v>
      </c>
      <c r="AJ126" s="33" t="str">
        <f t="shared" ca="1" si="29"/>
        <v>NEW</v>
      </c>
    </row>
    <row r="127" spans="1:36" ht="12.75">
      <c r="A127" s="6">
        <v>8.0299999999999994</v>
      </c>
      <c r="B127" s="32" t="s">
        <v>32</v>
      </c>
      <c r="C127" s="33" t="s">
        <v>1917</v>
      </c>
      <c r="D127" s="74"/>
      <c r="E127" s="75" t="str">
        <f t="shared" si="19"/>
        <v/>
      </c>
      <c r="F127" s="75" t="str">
        <f t="shared" si="20"/>
        <v/>
      </c>
      <c r="G127" s="75" t="str">
        <f t="shared" si="21"/>
        <v/>
      </c>
      <c r="H127" s="75" t="str">
        <f t="shared" si="22"/>
        <v/>
      </c>
      <c r="I127" s="75" t="str">
        <f t="shared" si="23"/>
        <v/>
      </c>
      <c r="J127" s="74" t="str">
        <f t="shared" ca="1" si="24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31"/>
        <v>input starter in column D</v>
      </c>
      <c r="Q127" s="5" t="str">
        <f t="shared" si="28"/>
        <v/>
      </c>
      <c r="R127" s="10">
        <v>2</v>
      </c>
      <c r="AJ127" s="33" t="str">
        <f t="shared" ca="1" si="29"/>
        <v>NEW</v>
      </c>
    </row>
    <row r="128" spans="1:36" ht="12.75">
      <c r="A128" s="6">
        <v>8.0399999999999991</v>
      </c>
      <c r="B128" s="32" t="s">
        <v>32</v>
      </c>
      <c r="C128" s="33" t="s">
        <v>1917</v>
      </c>
      <c r="D128" s="74"/>
      <c r="E128" s="75" t="str">
        <f t="shared" si="19"/>
        <v/>
      </c>
      <c r="F128" s="75" t="str">
        <f t="shared" si="20"/>
        <v/>
      </c>
      <c r="G128" s="75" t="str">
        <f t="shared" si="21"/>
        <v/>
      </c>
      <c r="H128" s="75" t="str">
        <f t="shared" si="22"/>
        <v/>
      </c>
      <c r="I128" s="75" t="str">
        <f t="shared" si="23"/>
        <v/>
      </c>
      <c r="J128" s="74" t="str">
        <f t="shared" ca="1" si="24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31"/>
        <v>input starter in column D</v>
      </c>
      <c r="Q128" s="5" t="str">
        <f t="shared" si="28"/>
        <v/>
      </c>
      <c r="R128" s="10">
        <v>3</v>
      </c>
      <c r="AJ128" s="33" t="str">
        <f t="shared" ca="1" si="29"/>
        <v>NEW</v>
      </c>
    </row>
    <row r="129" spans="1:36" ht="12.75">
      <c r="A129" s="6">
        <v>8.0500000000000007</v>
      </c>
      <c r="B129" s="32"/>
      <c r="C129" s="33" t="s">
        <v>53</v>
      </c>
      <c r="D129" s="74"/>
      <c r="E129" s="75" t="str">
        <f t="shared" si="19"/>
        <v/>
      </c>
      <c r="F129" s="75" t="str">
        <f t="shared" si="20"/>
        <v/>
      </c>
      <c r="G129" s="75" t="str">
        <f t="shared" si="21"/>
        <v/>
      </c>
      <c r="H129" s="75" t="str">
        <f t="shared" si="22"/>
        <v/>
      </c>
      <c r="I129" s="75" t="str">
        <f t="shared" si="23"/>
        <v/>
      </c>
      <c r="J129" s="74" t="str">
        <f t="shared" ca="1" si="24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31"/>
        <v>input starter in column D</v>
      </c>
      <c r="Q129" s="5" t="str">
        <f t="shared" si="28"/>
        <v/>
      </c>
      <c r="R129" s="10">
        <v>5</v>
      </c>
      <c r="AJ129" s="33" t="str">
        <f t="shared" ca="1" si="29"/>
        <v>NEW</v>
      </c>
    </row>
    <row r="130" spans="1:36" ht="12.75">
      <c r="A130" s="6">
        <v>8.06</v>
      </c>
      <c r="B130" s="32"/>
      <c r="C130" s="33" t="s">
        <v>53</v>
      </c>
      <c r="D130" s="74"/>
      <c r="E130" s="75" t="str">
        <f t="shared" si="19"/>
        <v/>
      </c>
      <c r="F130" s="75" t="str">
        <f t="shared" si="20"/>
        <v/>
      </c>
      <c r="G130" s="75" t="str">
        <f t="shared" si="21"/>
        <v/>
      </c>
      <c r="H130" s="75" t="str">
        <f t="shared" si="22"/>
        <v/>
      </c>
      <c r="I130" s="75" t="str">
        <f t="shared" si="23"/>
        <v/>
      </c>
      <c r="J130" s="74" t="str">
        <f t="shared" ca="1" si="24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31"/>
        <v>input starter in column D</v>
      </c>
      <c r="Q130" s="5" t="str">
        <f t="shared" si="28"/>
        <v/>
      </c>
      <c r="R130" s="10">
        <v>4</v>
      </c>
      <c r="AJ130" s="33" t="str">
        <f t="shared" ca="1" si="29"/>
        <v>NEW</v>
      </c>
    </row>
    <row r="131" spans="1:36" ht="12.75">
      <c r="A131" s="6">
        <v>8.07</v>
      </c>
      <c r="B131" s="32"/>
      <c r="C131" s="33" t="s">
        <v>53</v>
      </c>
      <c r="D131" s="74"/>
      <c r="E131" s="75" t="str">
        <f t="shared" si="19"/>
        <v/>
      </c>
      <c r="F131" s="75" t="str">
        <f t="shared" si="20"/>
        <v/>
      </c>
      <c r="G131" s="75" t="str">
        <f t="shared" si="21"/>
        <v/>
      </c>
      <c r="H131" s="75" t="str">
        <f t="shared" si="22"/>
        <v/>
      </c>
      <c r="I131" s="75" t="str">
        <f t="shared" si="23"/>
        <v/>
      </c>
      <c r="J131" s="74" t="str">
        <f t="shared" ca="1" si="24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31"/>
        <v>input starter in column D</v>
      </c>
      <c r="Q131" s="5" t="str">
        <f t="shared" si="28"/>
        <v/>
      </c>
      <c r="R131" s="10">
        <v>1</v>
      </c>
      <c r="AJ131" s="33" t="str">
        <f t="shared" ref="AJ131:AJ162" ca="1" si="32">IF(ISERROR((INDIRECT(""&amp;$C131&amp;"!c"&amp;ROW(C131)))),"",(INDIRECT(""&amp;$C131&amp;"!c"&amp;ROW(C131))))</f>
        <v>NEW</v>
      </c>
    </row>
    <row r="132" spans="1:36" ht="12.75">
      <c r="A132" s="6">
        <v>8.08</v>
      </c>
      <c r="B132" s="32"/>
      <c r="C132" s="33" t="s">
        <v>53</v>
      </c>
      <c r="D132" s="74"/>
      <c r="E132" s="75" t="str">
        <f t="shared" ref="E132:E185" si="33">IF(ISERROR((VLOOKUP($D132,$S$3:$AE$22,3,FALSE))),"",(VLOOKUP($D132,$S$3:$AE$22,3,FALSE)))</f>
        <v/>
      </c>
      <c r="F132" s="75" t="str">
        <f t="shared" ref="F132:F185" si="34">IF(ISERROR((VLOOKUP($D132,$S$3:$AE$22,5,FALSE))),"",(VLOOKUP($D132,$S$3:$AE$22,5,FALSE)))</f>
        <v/>
      </c>
      <c r="G132" s="75" t="str">
        <f t="shared" ref="G132:G185" si="35">IF(ISERROR((VLOOKUP($D132,$S$3:$AE$22,10,FALSE))),"",(VLOOKUP($D132,$S$3:$AE$22,10,FALSE)))</f>
        <v/>
      </c>
      <c r="H132" s="75" t="str">
        <f t="shared" ref="H132:H185" si="36">IF(ISERROR((VLOOKUP($D132,$S$3:$AE$22,11,FALSE))),"",(VLOOKUP($D132,$S$3:$AE$22,11,FALSE)))</f>
        <v/>
      </c>
      <c r="I132" s="75" t="str">
        <f t="shared" ref="I132:I185" si="37">IF(ISERROR((VLOOKUP($D132,$S$3:$AE$22,12,FALSE))),"",(VLOOKUP($D132,$S$3:$AE$22,12,FALSE)))</f>
        <v/>
      </c>
      <c r="J132" s="74" t="str">
        <f t="shared" ref="J132:J185" ca="1" si="38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31"/>
        <v>input starter in column D</v>
      </c>
      <c r="Q132" s="5" t="str">
        <f t="shared" si="28"/>
        <v/>
      </c>
      <c r="R132" s="10">
        <v>2</v>
      </c>
      <c r="AJ132" s="33" t="str">
        <f t="shared" ca="1" si="32"/>
        <v>NEW</v>
      </c>
    </row>
    <row r="133" spans="1:36" ht="12.75">
      <c r="A133" s="6">
        <v>8.09</v>
      </c>
      <c r="B133" s="35"/>
      <c r="C133" s="33" t="s">
        <v>34</v>
      </c>
      <c r="D133" s="74"/>
      <c r="E133" s="75" t="str">
        <f t="shared" si="33"/>
        <v/>
      </c>
      <c r="F133" s="75" t="str">
        <f t="shared" si="34"/>
        <v/>
      </c>
      <c r="G133" s="75" t="str">
        <f t="shared" si="35"/>
        <v/>
      </c>
      <c r="H133" s="75" t="str">
        <f t="shared" si="36"/>
        <v/>
      </c>
      <c r="I133" s="75" t="str">
        <f t="shared" si="37"/>
        <v/>
      </c>
      <c r="J133" s="74" t="str">
        <f t="shared" ca="1" si="38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31"/>
        <v>input starter in column D</v>
      </c>
      <c r="Q133" s="5" t="str">
        <f t="shared" si="28"/>
        <v/>
      </c>
      <c r="R133" s="10">
        <v>3</v>
      </c>
      <c r="AJ133" s="33" t="str">
        <f t="shared" ca="1" si="32"/>
        <v>NEW</v>
      </c>
    </row>
    <row r="134" spans="1:36" ht="12.75">
      <c r="A134" s="6">
        <v>8.1</v>
      </c>
      <c r="B134" s="32"/>
      <c r="C134" s="33" t="s">
        <v>34</v>
      </c>
      <c r="D134" s="74"/>
      <c r="E134" s="75" t="str">
        <f t="shared" si="33"/>
        <v/>
      </c>
      <c r="F134" s="75" t="str">
        <f t="shared" si="34"/>
        <v/>
      </c>
      <c r="G134" s="75" t="str">
        <f t="shared" si="35"/>
        <v/>
      </c>
      <c r="H134" s="75" t="str">
        <f t="shared" si="36"/>
        <v/>
      </c>
      <c r="I134" s="75" t="str">
        <f t="shared" si="37"/>
        <v/>
      </c>
      <c r="J134" s="74" t="str">
        <f t="shared" ca="1" si="38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31"/>
        <v>input starter in column D</v>
      </c>
      <c r="Q134" s="5" t="str">
        <f t="shared" si="28"/>
        <v/>
      </c>
      <c r="R134" s="10">
        <v>5</v>
      </c>
      <c r="AJ134" s="33" t="str">
        <f t="shared" ca="1" si="32"/>
        <v>NEW</v>
      </c>
    </row>
    <row r="135" spans="1:36" ht="12.75">
      <c r="A135" s="6">
        <v>8.11</v>
      </c>
      <c r="B135" s="32"/>
      <c r="C135" s="33" t="s">
        <v>34</v>
      </c>
      <c r="D135" s="74"/>
      <c r="E135" s="75" t="str">
        <f t="shared" si="33"/>
        <v/>
      </c>
      <c r="F135" s="75" t="str">
        <f t="shared" si="34"/>
        <v/>
      </c>
      <c r="G135" s="75" t="str">
        <f t="shared" si="35"/>
        <v/>
      </c>
      <c r="H135" s="75" t="str">
        <f t="shared" si="36"/>
        <v/>
      </c>
      <c r="I135" s="75" t="str">
        <f t="shared" si="37"/>
        <v/>
      </c>
      <c r="J135" s="74" t="str">
        <f t="shared" ca="1" si="38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31"/>
        <v>input starter in column D</v>
      </c>
      <c r="Q135" s="5" t="str">
        <f t="shared" si="28"/>
        <v/>
      </c>
      <c r="R135" s="10">
        <v>4</v>
      </c>
      <c r="AJ135" s="33" t="str">
        <f t="shared" ca="1" si="32"/>
        <v>NEW</v>
      </c>
    </row>
    <row r="136" spans="1:36" ht="12.75">
      <c r="A136" s="6">
        <v>8.1199999999999992</v>
      </c>
      <c r="B136" s="35"/>
      <c r="C136" s="33" t="s">
        <v>34</v>
      </c>
      <c r="D136" s="74"/>
      <c r="E136" s="75" t="str">
        <f t="shared" si="33"/>
        <v/>
      </c>
      <c r="F136" s="75" t="str">
        <f t="shared" si="34"/>
        <v/>
      </c>
      <c r="G136" s="75" t="str">
        <f t="shared" si="35"/>
        <v/>
      </c>
      <c r="H136" s="75" t="str">
        <f t="shared" si="36"/>
        <v/>
      </c>
      <c r="I136" s="75" t="str">
        <f t="shared" si="37"/>
        <v/>
      </c>
      <c r="J136" s="74" t="str">
        <f t="shared" ca="1" si="38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31"/>
        <v>input starter in column D</v>
      </c>
      <c r="Q136" s="5" t="str">
        <f t="shared" si="28"/>
        <v/>
      </c>
      <c r="R136" s="10">
        <v>1</v>
      </c>
      <c r="AJ136" s="33" t="str">
        <f t="shared" ca="1" si="32"/>
        <v>NEW</v>
      </c>
    </row>
    <row r="137" spans="1:36" ht="12.75">
      <c r="A137" s="6">
        <v>8.1300000000000008</v>
      </c>
      <c r="B137" s="32"/>
      <c r="C137" s="33" t="s">
        <v>47</v>
      </c>
      <c r="D137" s="74"/>
      <c r="E137" s="75" t="str">
        <f t="shared" si="33"/>
        <v/>
      </c>
      <c r="F137" s="75" t="str">
        <f t="shared" si="34"/>
        <v/>
      </c>
      <c r="G137" s="75" t="str">
        <f t="shared" si="35"/>
        <v/>
      </c>
      <c r="H137" s="75" t="str">
        <f t="shared" si="36"/>
        <v/>
      </c>
      <c r="I137" s="75" t="str">
        <f t="shared" si="37"/>
        <v/>
      </c>
      <c r="J137" s="74" t="str">
        <f t="shared" ca="1" si="38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31"/>
        <v>input starter in column D</v>
      </c>
      <c r="Q137" s="5" t="str">
        <f t="shared" si="28"/>
        <v/>
      </c>
      <c r="R137" s="10">
        <v>2</v>
      </c>
      <c r="AJ137" s="33" t="str">
        <f t="shared" ca="1" si="32"/>
        <v>NEW</v>
      </c>
    </row>
    <row r="138" spans="1:36" ht="12.75">
      <c r="A138" s="6">
        <v>8.14</v>
      </c>
      <c r="B138" s="32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2"/>
        <v/>
      </c>
    </row>
    <row r="139" spans="1:36" ht="12.75">
      <c r="A139" s="6">
        <v>8.15</v>
      </c>
      <c r="B139" s="32"/>
      <c r="C139" s="33" t="s">
        <v>47</v>
      </c>
      <c r="D139" s="74"/>
      <c r="E139" s="75" t="str">
        <f t="shared" si="33"/>
        <v/>
      </c>
      <c r="F139" s="75" t="str">
        <f t="shared" si="34"/>
        <v/>
      </c>
      <c r="G139" s="75" t="str">
        <f t="shared" si="35"/>
        <v/>
      </c>
      <c r="H139" s="75" t="str">
        <f t="shared" si="36"/>
        <v/>
      </c>
      <c r="I139" s="75" t="str">
        <f t="shared" si="37"/>
        <v/>
      </c>
      <c r="J139" s="74" t="str">
        <f t="shared" ca="1" si="38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9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8"/>
        <v/>
      </c>
      <c r="R139" s="10">
        <v>3</v>
      </c>
      <c r="AJ139" s="33" t="str">
        <f t="shared" ca="1" si="32"/>
        <v>NEW</v>
      </c>
    </row>
    <row r="140" spans="1:36" ht="12.75">
      <c r="A140" s="6">
        <v>8.16</v>
      </c>
      <c r="B140" s="32"/>
      <c r="C140" s="33" t="s">
        <v>47</v>
      </c>
      <c r="D140" s="74"/>
      <c r="E140" s="75" t="str">
        <f t="shared" si="33"/>
        <v/>
      </c>
      <c r="F140" s="75" t="str">
        <f t="shared" si="34"/>
        <v/>
      </c>
      <c r="G140" s="75" t="str">
        <f t="shared" si="35"/>
        <v/>
      </c>
      <c r="H140" s="75" t="str">
        <f t="shared" si="36"/>
        <v/>
      </c>
      <c r="I140" s="75" t="str">
        <f t="shared" si="37"/>
        <v/>
      </c>
      <c r="J140" s="74" t="str">
        <f t="shared" ca="1" si="38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9"/>
        <v>input starter in column D</v>
      </c>
      <c r="Q140" s="5" t="str">
        <f t="shared" si="28"/>
        <v/>
      </c>
      <c r="R140" s="10">
        <v>4</v>
      </c>
      <c r="AJ140" s="33" t="str">
        <f t="shared" ca="1" si="32"/>
        <v>NEW</v>
      </c>
    </row>
    <row r="141" spans="1:36" ht="12.75">
      <c r="A141" s="6">
        <v>8.17</v>
      </c>
      <c r="B141" s="32"/>
      <c r="C141" s="33" t="s">
        <v>47</v>
      </c>
      <c r="D141" s="74"/>
      <c r="E141" s="75" t="str">
        <f t="shared" si="33"/>
        <v/>
      </c>
      <c r="F141" s="75" t="str">
        <f t="shared" si="34"/>
        <v/>
      </c>
      <c r="G141" s="75" t="str">
        <f t="shared" si="35"/>
        <v/>
      </c>
      <c r="H141" s="75" t="str">
        <f t="shared" si="36"/>
        <v/>
      </c>
      <c r="I141" s="75" t="str">
        <f t="shared" si="37"/>
        <v/>
      </c>
      <c r="J141" s="74" t="str">
        <f t="shared" ca="1" si="38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9"/>
        <v>input starter in column D</v>
      </c>
      <c r="Q141" s="5" t="str">
        <f t="shared" si="28"/>
        <v/>
      </c>
      <c r="R141" s="10">
        <v>1</v>
      </c>
      <c r="AJ141" s="33" t="str">
        <f t="shared" ca="1" si="32"/>
        <v>NEW</v>
      </c>
    </row>
    <row r="142" spans="1:36" ht="12.75">
      <c r="A142" s="6">
        <v>8.18</v>
      </c>
      <c r="B142" s="32"/>
      <c r="C142" s="33" t="s">
        <v>51</v>
      </c>
      <c r="D142" s="74"/>
      <c r="E142" s="75" t="str">
        <f t="shared" si="33"/>
        <v/>
      </c>
      <c r="F142" s="75" t="str">
        <f t="shared" si="34"/>
        <v/>
      </c>
      <c r="G142" s="75" t="str">
        <f t="shared" si="35"/>
        <v/>
      </c>
      <c r="H142" s="75" t="str">
        <f t="shared" si="36"/>
        <v/>
      </c>
      <c r="I142" s="75" t="str">
        <f t="shared" si="37"/>
        <v/>
      </c>
      <c r="J142" s="74" t="str">
        <f t="shared" ca="1" si="38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9"/>
        <v>input starter in column D</v>
      </c>
      <c r="Q142" s="5" t="str">
        <f t="shared" si="28"/>
        <v/>
      </c>
      <c r="R142" s="10">
        <v>2</v>
      </c>
      <c r="AJ142" s="33" t="str">
        <f t="shared" ca="1" si="32"/>
        <v>NEW</v>
      </c>
    </row>
    <row r="143" spans="1:36" ht="12.75">
      <c r="A143" s="6">
        <v>8.19</v>
      </c>
      <c r="B143" s="32"/>
      <c r="C143" s="33" t="s">
        <v>51</v>
      </c>
      <c r="D143" s="74"/>
      <c r="E143" s="75" t="str">
        <f t="shared" si="33"/>
        <v/>
      </c>
      <c r="F143" s="75" t="str">
        <f t="shared" si="34"/>
        <v/>
      </c>
      <c r="G143" s="75" t="str">
        <f t="shared" si="35"/>
        <v/>
      </c>
      <c r="H143" s="75" t="str">
        <f t="shared" si="36"/>
        <v/>
      </c>
      <c r="I143" s="75" t="str">
        <f t="shared" si="37"/>
        <v/>
      </c>
      <c r="J143" s="74" t="str">
        <f t="shared" ca="1" si="38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9"/>
        <v>input starter in column D</v>
      </c>
      <c r="Q143" s="5" t="str">
        <f t="shared" si="28"/>
        <v/>
      </c>
      <c r="R143" s="10">
        <v>5</v>
      </c>
      <c r="AJ143" s="33" t="str">
        <f t="shared" ca="1" si="32"/>
        <v>NEW</v>
      </c>
    </row>
    <row r="144" spans="1:36" ht="12.75">
      <c r="A144" s="6">
        <v>8.1999999999999993</v>
      </c>
      <c r="B144" s="32"/>
      <c r="C144" s="33" t="s">
        <v>51</v>
      </c>
      <c r="D144" s="74"/>
      <c r="E144" s="75" t="str">
        <f t="shared" si="33"/>
        <v/>
      </c>
      <c r="F144" s="75" t="str">
        <f t="shared" si="34"/>
        <v/>
      </c>
      <c r="G144" s="75" t="str">
        <f t="shared" si="35"/>
        <v/>
      </c>
      <c r="H144" s="75" t="str">
        <f t="shared" si="36"/>
        <v/>
      </c>
      <c r="I144" s="75" t="str">
        <f t="shared" si="37"/>
        <v/>
      </c>
      <c r="J144" s="74" t="str">
        <f t="shared" ca="1" si="38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9"/>
        <v>input starter in column D</v>
      </c>
      <c r="Q144" s="5" t="str">
        <f t="shared" si="28"/>
        <v/>
      </c>
      <c r="R144" s="10">
        <v>3</v>
      </c>
      <c r="AJ144" s="33" t="str">
        <f t="shared" ca="1" si="32"/>
        <v>NEW</v>
      </c>
    </row>
    <row r="145" spans="1:36" ht="12.75">
      <c r="A145" s="6">
        <v>8.2100000000000009</v>
      </c>
      <c r="B145" s="32" t="s">
        <v>32</v>
      </c>
      <c r="C145" s="33" t="s">
        <v>43</v>
      </c>
      <c r="D145" s="74"/>
      <c r="E145" s="75" t="str">
        <f t="shared" si="33"/>
        <v/>
      </c>
      <c r="F145" s="75" t="str">
        <f t="shared" si="34"/>
        <v/>
      </c>
      <c r="G145" s="75" t="str">
        <f t="shared" si="35"/>
        <v/>
      </c>
      <c r="H145" s="75" t="str">
        <f t="shared" si="36"/>
        <v/>
      </c>
      <c r="I145" s="75" t="str">
        <f t="shared" si="37"/>
        <v/>
      </c>
      <c r="J145" s="74" t="str">
        <f t="shared" ca="1" si="38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9"/>
        <v>input starter in column D</v>
      </c>
      <c r="Q145" s="5" t="str">
        <f t="shared" si="28"/>
        <v/>
      </c>
      <c r="R145" s="10">
        <v>4</v>
      </c>
      <c r="AJ145" s="33" t="str">
        <f t="shared" ca="1" si="32"/>
        <v>NEW</v>
      </c>
    </row>
    <row r="146" spans="1:36" ht="12.75">
      <c r="A146" s="6">
        <v>8.2200000000000006</v>
      </c>
      <c r="B146" s="32" t="s">
        <v>32</v>
      </c>
      <c r="C146" s="33" t="s">
        <v>43</v>
      </c>
      <c r="D146" s="74"/>
      <c r="E146" s="75" t="str">
        <f t="shared" si="33"/>
        <v/>
      </c>
      <c r="F146" s="75" t="str">
        <f t="shared" si="34"/>
        <v/>
      </c>
      <c r="G146" s="75" t="str">
        <f t="shared" si="35"/>
        <v/>
      </c>
      <c r="H146" s="75" t="str">
        <f t="shared" si="36"/>
        <v/>
      </c>
      <c r="I146" s="75" t="str">
        <f t="shared" si="37"/>
        <v/>
      </c>
      <c r="J146" s="74" t="str">
        <f t="shared" ca="1" si="38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9"/>
        <v>input starter in column D</v>
      </c>
      <c r="Q146" s="5" t="str">
        <f t="shared" si="28"/>
        <v/>
      </c>
      <c r="R146" s="10">
        <v>1</v>
      </c>
      <c r="AJ146" s="33" t="str">
        <f t="shared" ca="1" si="32"/>
        <v>NEW</v>
      </c>
    </row>
    <row r="147" spans="1:36" ht="12.75">
      <c r="A147" s="6">
        <v>8.23</v>
      </c>
      <c r="B147" s="32" t="s">
        <v>32</v>
      </c>
      <c r="C147" s="33" t="s">
        <v>43</v>
      </c>
      <c r="D147" s="74"/>
      <c r="E147" s="75" t="str">
        <f t="shared" si="33"/>
        <v/>
      </c>
      <c r="F147" s="75" t="str">
        <f t="shared" si="34"/>
        <v/>
      </c>
      <c r="G147" s="75" t="str">
        <f t="shared" si="35"/>
        <v/>
      </c>
      <c r="H147" s="75" t="str">
        <f t="shared" si="36"/>
        <v/>
      </c>
      <c r="I147" s="75" t="str">
        <f t="shared" si="37"/>
        <v/>
      </c>
      <c r="J147" s="74" t="str">
        <f t="shared" ca="1" si="38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9"/>
        <v>input starter in column D</v>
      </c>
      <c r="Q147" s="5" t="str">
        <f t="shared" si="28"/>
        <v/>
      </c>
      <c r="R147" s="14">
        <v>2</v>
      </c>
      <c r="AJ147" s="33" t="str">
        <f t="shared" ca="1" si="32"/>
        <v>NEW</v>
      </c>
    </row>
    <row r="148" spans="1:36" ht="12.75">
      <c r="A148" s="6">
        <v>8.24</v>
      </c>
      <c r="B148" s="32" t="s">
        <v>32</v>
      </c>
      <c r="C148" s="33" t="s">
        <v>43</v>
      </c>
      <c r="D148" s="74"/>
      <c r="E148" s="75" t="str">
        <f t="shared" si="33"/>
        <v/>
      </c>
      <c r="F148" s="75" t="str">
        <f t="shared" si="34"/>
        <v/>
      </c>
      <c r="G148" s="75" t="str">
        <f t="shared" si="35"/>
        <v/>
      </c>
      <c r="H148" s="75" t="str">
        <f t="shared" si="36"/>
        <v/>
      </c>
      <c r="I148" s="75" t="str">
        <f t="shared" si="37"/>
        <v/>
      </c>
      <c r="J148" s="74" t="str">
        <f t="shared" ca="1" si="38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9"/>
        <v>input starter in column D</v>
      </c>
      <c r="Q148" s="5" t="str">
        <f t="shared" si="28"/>
        <v/>
      </c>
      <c r="R148" s="14">
        <v>5</v>
      </c>
      <c r="AJ148" s="33" t="str">
        <f t="shared" ca="1" si="32"/>
        <v>NEW</v>
      </c>
    </row>
    <row r="149" spans="1:36" ht="12.75">
      <c r="A149" s="6">
        <v>8.25</v>
      </c>
      <c r="B149" s="32" t="s">
        <v>32</v>
      </c>
      <c r="C149" s="33" t="s">
        <v>33</v>
      </c>
      <c r="D149" s="74"/>
      <c r="E149" s="75" t="str">
        <f t="shared" si="33"/>
        <v/>
      </c>
      <c r="F149" s="75" t="str">
        <f t="shared" si="34"/>
        <v/>
      </c>
      <c r="G149" s="75" t="str">
        <f t="shared" si="35"/>
        <v/>
      </c>
      <c r="H149" s="75" t="str">
        <f t="shared" si="36"/>
        <v/>
      </c>
      <c r="I149" s="75" t="str">
        <f t="shared" si="37"/>
        <v/>
      </c>
      <c r="J149" s="74" t="str">
        <f t="shared" ca="1" si="38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9"/>
        <v>input starter in column D</v>
      </c>
      <c r="Q149" s="5" t="str">
        <f t="shared" si="28"/>
        <v/>
      </c>
      <c r="R149" s="14">
        <v>3</v>
      </c>
      <c r="AJ149" s="33" t="str">
        <f t="shared" ca="1" si="32"/>
        <v>NEW</v>
      </c>
    </row>
    <row r="150" spans="1:36" ht="12.75">
      <c r="A150" s="6">
        <v>8.26</v>
      </c>
      <c r="B150" s="32" t="s">
        <v>32</v>
      </c>
      <c r="C150" s="33" t="s">
        <v>33</v>
      </c>
      <c r="D150" s="74"/>
      <c r="E150" s="75" t="str">
        <f t="shared" si="33"/>
        <v/>
      </c>
      <c r="F150" s="75" t="str">
        <f t="shared" si="34"/>
        <v/>
      </c>
      <c r="G150" s="75" t="str">
        <f t="shared" si="35"/>
        <v/>
      </c>
      <c r="H150" s="75" t="str">
        <f t="shared" si="36"/>
        <v/>
      </c>
      <c r="I150" s="75" t="str">
        <f t="shared" si="37"/>
        <v/>
      </c>
      <c r="J150" s="74" t="str">
        <f t="shared" ca="1" si="38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9"/>
        <v>input starter in column D</v>
      </c>
      <c r="Q150" s="5" t="str">
        <f t="shared" si="28"/>
        <v/>
      </c>
      <c r="R150" s="14">
        <v>4</v>
      </c>
      <c r="AJ150" s="33" t="str">
        <f t="shared" ca="1" si="32"/>
        <v>NEW</v>
      </c>
    </row>
    <row r="151" spans="1:36" ht="12.75">
      <c r="A151" s="6">
        <v>8.27</v>
      </c>
      <c r="B151" s="32" t="s">
        <v>32</v>
      </c>
      <c r="C151" s="33" t="s">
        <v>33</v>
      </c>
      <c r="D151" s="74"/>
      <c r="E151" s="75" t="str">
        <f t="shared" si="33"/>
        <v/>
      </c>
      <c r="F151" s="75" t="str">
        <f t="shared" si="34"/>
        <v/>
      </c>
      <c r="G151" s="75" t="str">
        <f t="shared" si="35"/>
        <v/>
      </c>
      <c r="H151" s="75" t="str">
        <f t="shared" si="36"/>
        <v/>
      </c>
      <c r="I151" s="75" t="str">
        <f t="shared" si="37"/>
        <v/>
      </c>
      <c r="J151" s="74" t="str">
        <f t="shared" ca="1" si="38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9"/>
        <v>input starter in column D</v>
      </c>
      <c r="Q151" s="5" t="str">
        <f t="shared" si="28"/>
        <v/>
      </c>
      <c r="R151" s="14">
        <v>1</v>
      </c>
      <c r="AJ151" s="33" t="str">
        <f t="shared" ca="1" si="32"/>
        <v>NEW</v>
      </c>
    </row>
    <row r="152" spans="1:36" ht="12.75">
      <c r="A152" s="6">
        <v>8.2799999999999994</v>
      </c>
      <c r="B152" s="32" t="s">
        <v>32</v>
      </c>
      <c r="C152" s="33" t="s">
        <v>33</v>
      </c>
      <c r="D152" s="74"/>
      <c r="E152" s="75" t="str">
        <f t="shared" si="33"/>
        <v/>
      </c>
      <c r="F152" s="75" t="str">
        <f t="shared" si="34"/>
        <v/>
      </c>
      <c r="G152" s="75" t="str">
        <f t="shared" si="35"/>
        <v/>
      </c>
      <c r="H152" s="75" t="str">
        <f t="shared" si="36"/>
        <v/>
      </c>
      <c r="I152" s="75" t="str">
        <f t="shared" si="37"/>
        <v/>
      </c>
      <c r="J152" s="74" t="str">
        <f t="shared" ca="1" si="38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9"/>
        <v>input starter in column D</v>
      </c>
      <c r="Q152" s="5" t="str">
        <f t="shared" si="28"/>
        <v/>
      </c>
      <c r="R152" s="14">
        <v>2</v>
      </c>
      <c r="AJ152" s="33" t="str">
        <f t="shared" ca="1" si="32"/>
        <v>NEW</v>
      </c>
    </row>
    <row r="153" spans="1:36" ht="12.75">
      <c r="A153" s="6">
        <v>8.2899999999999991</v>
      </c>
      <c r="B153" s="32" t="s">
        <v>32</v>
      </c>
      <c r="C153" s="33" t="s">
        <v>55</v>
      </c>
      <c r="D153" s="74"/>
      <c r="E153" s="75" t="str">
        <f t="shared" si="33"/>
        <v/>
      </c>
      <c r="F153" s="75" t="str">
        <f t="shared" si="34"/>
        <v/>
      </c>
      <c r="G153" s="75" t="str">
        <f t="shared" si="35"/>
        <v/>
      </c>
      <c r="H153" s="75" t="str">
        <f t="shared" si="36"/>
        <v/>
      </c>
      <c r="I153" s="75" t="str">
        <f t="shared" si="37"/>
        <v/>
      </c>
      <c r="J153" s="74" t="str">
        <f t="shared" ca="1" si="38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9"/>
        <v>input starter in column D</v>
      </c>
      <c r="Q153" s="5" t="str">
        <f t="shared" si="28"/>
        <v/>
      </c>
      <c r="R153" s="14">
        <v>5</v>
      </c>
      <c r="AJ153" s="33" t="str">
        <f t="shared" ca="1" si="32"/>
        <v>NEW</v>
      </c>
    </row>
    <row r="154" spans="1:36" ht="12.75">
      <c r="A154" s="6">
        <v>8.3000000000000007</v>
      </c>
      <c r="B154" s="32" t="s">
        <v>32</v>
      </c>
      <c r="C154" s="33" t="s">
        <v>55</v>
      </c>
      <c r="D154" s="74"/>
      <c r="E154" s="75" t="str">
        <f t="shared" si="33"/>
        <v/>
      </c>
      <c r="F154" s="75" t="str">
        <f t="shared" si="34"/>
        <v/>
      </c>
      <c r="G154" s="75" t="str">
        <f t="shared" si="35"/>
        <v/>
      </c>
      <c r="H154" s="75" t="str">
        <f t="shared" si="36"/>
        <v/>
      </c>
      <c r="I154" s="75" t="str">
        <f t="shared" si="37"/>
        <v/>
      </c>
      <c r="J154" s="74" t="str">
        <f t="shared" ca="1" si="38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9"/>
        <v>input starter in column D</v>
      </c>
      <c r="Q154" s="5" t="str">
        <f t="shared" si="28"/>
        <v/>
      </c>
      <c r="R154" s="14">
        <v>3</v>
      </c>
      <c r="AJ154" s="33" t="str">
        <f t="shared" ca="1" si="32"/>
        <v>NEW</v>
      </c>
    </row>
    <row r="155" spans="1:36" ht="12.75">
      <c r="A155" s="6">
        <v>8.31</v>
      </c>
      <c r="B155" s="32" t="s">
        <v>32</v>
      </c>
      <c r="C155" s="33" t="s">
        <v>55</v>
      </c>
      <c r="D155" s="74"/>
      <c r="E155" s="75" t="str">
        <f t="shared" si="33"/>
        <v/>
      </c>
      <c r="F155" s="75" t="str">
        <f t="shared" si="34"/>
        <v/>
      </c>
      <c r="G155" s="75" t="str">
        <f t="shared" si="35"/>
        <v/>
      </c>
      <c r="H155" s="75" t="str">
        <f t="shared" si="36"/>
        <v/>
      </c>
      <c r="I155" s="75" t="str">
        <f t="shared" si="37"/>
        <v/>
      </c>
      <c r="J155" s="74" t="str">
        <f t="shared" ca="1" si="38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9"/>
        <v>input starter in column D</v>
      </c>
      <c r="Q155" s="5" t="str">
        <f t="shared" si="28"/>
        <v/>
      </c>
      <c r="R155" s="14">
        <v>4</v>
      </c>
      <c r="AJ155" s="33" t="str">
        <f t="shared" ca="1" si="32"/>
        <v>NEW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2"/>
        <v/>
      </c>
    </row>
    <row r="157" spans="1:36" ht="12.75">
      <c r="A157" s="6">
        <v>9.02</v>
      </c>
      <c r="B157" s="32"/>
      <c r="C157" s="33" t="s">
        <v>40</v>
      </c>
      <c r="D157" s="74"/>
      <c r="E157" s="75" t="str">
        <f t="shared" si="33"/>
        <v/>
      </c>
      <c r="F157" s="75" t="str">
        <f t="shared" si="34"/>
        <v/>
      </c>
      <c r="G157" s="75" t="str">
        <f t="shared" si="35"/>
        <v/>
      </c>
      <c r="H157" s="75" t="str">
        <f t="shared" si="36"/>
        <v/>
      </c>
      <c r="I157" s="75" t="str">
        <f t="shared" si="37"/>
        <v/>
      </c>
      <c r="J157" s="74" t="str">
        <f t="shared" ca="1" si="38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40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8"/>
        <v/>
      </c>
      <c r="R157" s="10">
        <v>1</v>
      </c>
      <c r="AJ157" s="33" t="str">
        <f t="shared" ca="1" si="32"/>
        <v>NEW</v>
      </c>
    </row>
    <row r="158" spans="1:36" ht="12.75">
      <c r="A158" s="6">
        <v>9.0299999999999994</v>
      </c>
      <c r="B158" s="32"/>
      <c r="C158" s="33" t="s">
        <v>40</v>
      </c>
      <c r="D158" s="74"/>
      <c r="E158" s="75" t="str">
        <f t="shared" si="33"/>
        <v/>
      </c>
      <c r="F158" s="75" t="str">
        <f t="shared" si="34"/>
        <v/>
      </c>
      <c r="G158" s="75" t="str">
        <f t="shared" si="35"/>
        <v/>
      </c>
      <c r="H158" s="75" t="str">
        <f t="shared" si="36"/>
        <v/>
      </c>
      <c r="I158" s="75" t="str">
        <f t="shared" si="37"/>
        <v/>
      </c>
      <c r="J158" s="74" t="str">
        <f t="shared" ca="1" si="38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40"/>
        <v>input starter in column D</v>
      </c>
      <c r="Q158" s="5" t="str">
        <f t="shared" si="28"/>
        <v/>
      </c>
      <c r="R158" s="10">
        <v>2</v>
      </c>
      <c r="AJ158" s="33" t="str">
        <f t="shared" ca="1" si="32"/>
        <v>NEW</v>
      </c>
    </row>
    <row r="159" spans="1:36" ht="12.75">
      <c r="A159" s="6">
        <v>9.0399999999999991</v>
      </c>
      <c r="B159" s="32"/>
      <c r="C159" s="33" t="s">
        <v>40</v>
      </c>
      <c r="D159" s="74"/>
      <c r="E159" s="75" t="str">
        <f t="shared" si="33"/>
        <v/>
      </c>
      <c r="F159" s="75" t="str">
        <f t="shared" si="34"/>
        <v/>
      </c>
      <c r="G159" s="75" t="str">
        <f t="shared" si="35"/>
        <v/>
      </c>
      <c r="H159" s="75" t="str">
        <f t="shared" si="36"/>
        <v/>
      </c>
      <c r="I159" s="75" t="str">
        <f t="shared" si="37"/>
        <v/>
      </c>
      <c r="J159" s="74" t="str">
        <f t="shared" ca="1" si="38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40"/>
        <v>input starter in column D</v>
      </c>
      <c r="Q159" s="5" t="str">
        <f t="shared" si="28"/>
        <v/>
      </c>
      <c r="R159" s="10">
        <v>3</v>
      </c>
      <c r="AJ159" s="33" t="str">
        <f t="shared" ca="1" si="32"/>
        <v>NEW</v>
      </c>
    </row>
    <row r="160" spans="1:36" ht="12.75">
      <c r="A160" s="6">
        <v>9.0500000000000007</v>
      </c>
      <c r="B160" s="32" t="s">
        <v>32</v>
      </c>
      <c r="C160" s="33" t="s">
        <v>49</v>
      </c>
      <c r="D160" s="74"/>
      <c r="E160" s="75" t="str">
        <f t="shared" si="33"/>
        <v/>
      </c>
      <c r="F160" s="75" t="str">
        <f t="shared" si="34"/>
        <v/>
      </c>
      <c r="G160" s="75" t="str">
        <f t="shared" si="35"/>
        <v/>
      </c>
      <c r="H160" s="75" t="str">
        <f t="shared" si="36"/>
        <v/>
      </c>
      <c r="I160" s="75" t="str">
        <f t="shared" si="37"/>
        <v/>
      </c>
      <c r="J160" s="74" t="str">
        <f t="shared" ca="1" si="38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40"/>
        <v>input starter in column D</v>
      </c>
      <c r="Q160" s="5" t="str">
        <f t="shared" si="28"/>
        <v/>
      </c>
      <c r="R160" s="10">
        <v>4</v>
      </c>
      <c r="AJ160" s="33" t="str">
        <f t="shared" ca="1" si="32"/>
        <v>NEW</v>
      </c>
    </row>
    <row r="161" spans="1:36" ht="12.75">
      <c r="A161" s="6">
        <v>9.06</v>
      </c>
      <c r="B161" s="32" t="s">
        <v>32</v>
      </c>
      <c r="C161" s="33" t="s">
        <v>49</v>
      </c>
      <c r="D161" s="74"/>
      <c r="E161" s="75" t="str">
        <f t="shared" si="33"/>
        <v/>
      </c>
      <c r="F161" s="75" t="str">
        <f t="shared" si="34"/>
        <v/>
      </c>
      <c r="G161" s="75" t="str">
        <f t="shared" si="35"/>
        <v/>
      </c>
      <c r="H161" s="75" t="str">
        <f t="shared" si="36"/>
        <v/>
      </c>
      <c r="I161" s="75" t="str">
        <f t="shared" si="37"/>
        <v/>
      </c>
      <c r="J161" s="74" t="str">
        <f t="shared" ca="1" si="38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40"/>
        <v>input starter in column D</v>
      </c>
      <c r="Q161" s="5" t="str">
        <f t="shared" ref="Q161:Q185" si="41">IF(P161="not enough rest","input a DIFFERENT starter in column C","")</f>
        <v/>
      </c>
      <c r="R161" s="10">
        <v>5</v>
      </c>
      <c r="AJ161" s="33" t="str">
        <f t="shared" ca="1" si="32"/>
        <v>NEW</v>
      </c>
    </row>
    <row r="162" spans="1:36" ht="12.75">
      <c r="A162" s="6">
        <v>9.07</v>
      </c>
      <c r="B162" s="32" t="s">
        <v>32</v>
      </c>
      <c r="C162" s="33" t="s">
        <v>49</v>
      </c>
      <c r="D162" s="74"/>
      <c r="E162" s="75" t="str">
        <f t="shared" si="33"/>
        <v/>
      </c>
      <c r="F162" s="75" t="str">
        <f t="shared" si="34"/>
        <v/>
      </c>
      <c r="G162" s="75" t="str">
        <f t="shared" si="35"/>
        <v/>
      </c>
      <c r="H162" s="75" t="str">
        <f t="shared" si="36"/>
        <v/>
      </c>
      <c r="I162" s="75" t="str">
        <f t="shared" si="37"/>
        <v/>
      </c>
      <c r="J162" s="74" t="str">
        <f t="shared" ca="1" si="38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40"/>
        <v>input starter in column D</v>
      </c>
      <c r="Q162" s="5" t="str">
        <f t="shared" si="41"/>
        <v/>
      </c>
      <c r="R162" s="10">
        <v>1</v>
      </c>
      <c r="AJ162" s="33" t="str">
        <f t="shared" ca="1" si="32"/>
        <v>NEW</v>
      </c>
    </row>
    <row r="163" spans="1:36" ht="12.75">
      <c r="A163" s="6">
        <v>9.08</v>
      </c>
      <c r="B163" s="34"/>
      <c r="C163" s="33" t="s">
        <v>56</v>
      </c>
      <c r="D163" s="74"/>
      <c r="E163" s="75" t="str">
        <f t="shared" si="33"/>
        <v/>
      </c>
      <c r="F163" s="75" t="str">
        <f t="shared" si="34"/>
        <v/>
      </c>
      <c r="G163" s="75" t="str">
        <f t="shared" si="35"/>
        <v/>
      </c>
      <c r="H163" s="75" t="str">
        <f t="shared" si="36"/>
        <v/>
      </c>
      <c r="I163" s="75" t="str">
        <f t="shared" si="37"/>
        <v/>
      </c>
      <c r="J163" s="74" t="str">
        <f t="shared" ca="1" si="38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40"/>
        <v>input starter in column D</v>
      </c>
      <c r="Q163" s="5" t="str">
        <f t="shared" si="41"/>
        <v/>
      </c>
      <c r="R163" s="10">
        <v>2</v>
      </c>
      <c r="AJ163" s="33" t="str">
        <f t="shared" ref="AJ163:AJ185" ca="1" si="42">IF(ISERROR((INDIRECT(""&amp;$C163&amp;"!c"&amp;ROW(C163)))),"",(INDIRECT(""&amp;$C163&amp;"!c"&amp;ROW(C163))))</f>
        <v>NEW</v>
      </c>
    </row>
    <row r="164" spans="1:36" ht="12.75">
      <c r="A164" s="6">
        <v>9.09</v>
      </c>
      <c r="B164" s="34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42"/>
        <v/>
      </c>
    </row>
    <row r="165" spans="1:36" ht="12.75">
      <c r="A165" s="6">
        <v>9.1</v>
      </c>
      <c r="B165" s="34"/>
      <c r="C165" s="33" t="s">
        <v>56</v>
      </c>
      <c r="D165" s="74"/>
      <c r="E165" s="75" t="str">
        <f t="shared" si="33"/>
        <v/>
      </c>
      <c r="F165" s="75" t="str">
        <f t="shared" si="34"/>
        <v/>
      </c>
      <c r="G165" s="75" t="str">
        <f t="shared" si="35"/>
        <v/>
      </c>
      <c r="H165" s="75" t="str">
        <f t="shared" si="36"/>
        <v/>
      </c>
      <c r="I165" s="75" t="str">
        <f t="shared" si="37"/>
        <v/>
      </c>
      <c r="J165" s="74" t="str">
        <f t="shared" ca="1" si="38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3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41"/>
        <v/>
      </c>
      <c r="R165" s="10">
        <v>3</v>
      </c>
      <c r="AJ165" s="33" t="str">
        <f t="shared" ca="1" si="42"/>
        <v>NEW</v>
      </c>
    </row>
    <row r="166" spans="1:36" ht="12.75">
      <c r="A166" s="6">
        <v>9.11</v>
      </c>
      <c r="B166" s="34"/>
      <c r="C166" s="33" t="s">
        <v>56</v>
      </c>
      <c r="D166" s="74"/>
      <c r="E166" s="75" t="str">
        <f t="shared" si="33"/>
        <v/>
      </c>
      <c r="F166" s="75" t="str">
        <f t="shared" si="34"/>
        <v/>
      </c>
      <c r="G166" s="75" t="str">
        <f t="shared" si="35"/>
        <v/>
      </c>
      <c r="H166" s="75" t="str">
        <f t="shared" si="36"/>
        <v/>
      </c>
      <c r="I166" s="75" t="str">
        <f t="shared" si="37"/>
        <v/>
      </c>
      <c r="J166" s="74" t="str">
        <f t="shared" ca="1" si="38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3"/>
        <v>input starter in column D</v>
      </c>
      <c r="Q166" s="5" t="str">
        <f t="shared" si="41"/>
        <v/>
      </c>
      <c r="R166" s="10">
        <v>4</v>
      </c>
      <c r="AJ166" s="33" t="str">
        <f t="shared" ca="1" si="42"/>
        <v>NEW</v>
      </c>
    </row>
    <row r="167" spans="1:36" ht="12.75">
      <c r="A167" s="6">
        <v>9.1199999999999992</v>
      </c>
      <c r="B167" s="32"/>
      <c r="C167" s="33" t="s">
        <v>39</v>
      </c>
      <c r="D167" s="74"/>
      <c r="E167" s="75" t="str">
        <f t="shared" si="33"/>
        <v/>
      </c>
      <c r="F167" s="75" t="str">
        <f t="shared" si="34"/>
        <v/>
      </c>
      <c r="G167" s="75" t="str">
        <f t="shared" si="35"/>
        <v/>
      </c>
      <c r="H167" s="75" t="str">
        <f t="shared" si="36"/>
        <v/>
      </c>
      <c r="I167" s="75" t="str">
        <f t="shared" si="37"/>
        <v/>
      </c>
      <c r="J167" s="74" t="str">
        <f t="shared" ca="1" si="38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3"/>
        <v>input starter in column D</v>
      </c>
      <c r="Q167" s="5" t="str">
        <f t="shared" si="41"/>
        <v/>
      </c>
      <c r="R167" s="10">
        <v>1</v>
      </c>
      <c r="AJ167" s="33" t="str">
        <f t="shared" ca="1" si="42"/>
        <v>NEW</v>
      </c>
    </row>
    <row r="168" spans="1:36" ht="12.75">
      <c r="A168" s="6">
        <v>9.1300000000000008</v>
      </c>
      <c r="B168" s="32"/>
      <c r="C168" s="33" t="s">
        <v>39</v>
      </c>
      <c r="D168" s="74"/>
      <c r="E168" s="75" t="str">
        <f t="shared" si="33"/>
        <v/>
      </c>
      <c r="F168" s="75" t="str">
        <f t="shared" si="34"/>
        <v/>
      </c>
      <c r="G168" s="75" t="str">
        <f t="shared" si="35"/>
        <v/>
      </c>
      <c r="H168" s="75" t="str">
        <f t="shared" si="36"/>
        <v/>
      </c>
      <c r="I168" s="75" t="str">
        <f t="shared" si="37"/>
        <v/>
      </c>
      <c r="J168" s="74" t="str">
        <f t="shared" ca="1" si="38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3"/>
        <v>input starter in column D</v>
      </c>
      <c r="Q168" s="5" t="str">
        <f t="shared" si="41"/>
        <v/>
      </c>
      <c r="R168" s="10">
        <v>2</v>
      </c>
      <c r="AJ168" s="33" t="str">
        <f t="shared" ca="1" si="42"/>
        <v>NEW</v>
      </c>
    </row>
    <row r="169" spans="1:36" ht="12.75">
      <c r="A169" s="6">
        <v>9.14</v>
      </c>
      <c r="B169" s="32"/>
      <c r="C169" s="33" t="s">
        <v>39</v>
      </c>
      <c r="D169" s="74"/>
      <c r="E169" s="75" t="str">
        <f t="shared" si="33"/>
        <v/>
      </c>
      <c r="F169" s="75" t="str">
        <f t="shared" si="34"/>
        <v/>
      </c>
      <c r="G169" s="75" t="str">
        <f t="shared" si="35"/>
        <v/>
      </c>
      <c r="H169" s="75" t="str">
        <f t="shared" si="36"/>
        <v/>
      </c>
      <c r="I169" s="75" t="str">
        <f t="shared" si="37"/>
        <v/>
      </c>
      <c r="J169" s="74" t="str">
        <f t="shared" ca="1" si="38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3"/>
        <v>input starter in column D</v>
      </c>
      <c r="Q169" s="5" t="str">
        <f t="shared" si="41"/>
        <v/>
      </c>
      <c r="R169" s="10">
        <v>5</v>
      </c>
      <c r="AJ169" s="33" t="str">
        <f t="shared" ca="1" si="42"/>
        <v>NEW</v>
      </c>
    </row>
    <row r="170" spans="1:36" ht="12.75">
      <c r="A170" s="6">
        <v>9.15</v>
      </c>
      <c r="B170" s="35"/>
      <c r="C170" s="33" t="s">
        <v>39</v>
      </c>
      <c r="D170" s="74"/>
      <c r="E170" s="75" t="str">
        <f t="shared" si="33"/>
        <v/>
      </c>
      <c r="F170" s="75" t="str">
        <f t="shared" si="34"/>
        <v/>
      </c>
      <c r="G170" s="75" t="str">
        <f t="shared" si="35"/>
        <v/>
      </c>
      <c r="H170" s="75" t="str">
        <f t="shared" si="36"/>
        <v/>
      </c>
      <c r="I170" s="75" t="str">
        <f t="shared" si="37"/>
        <v/>
      </c>
      <c r="J170" s="74" t="str">
        <f t="shared" ca="1" si="38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3"/>
        <v>input starter in column D</v>
      </c>
      <c r="Q170" s="5" t="str">
        <f t="shared" si="41"/>
        <v/>
      </c>
      <c r="R170" s="10">
        <v>3</v>
      </c>
      <c r="AJ170" s="33" t="str">
        <f t="shared" ca="1" si="42"/>
        <v>NEW</v>
      </c>
    </row>
    <row r="171" spans="1:36" ht="12.75">
      <c r="A171" s="6">
        <v>9.16</v>
      </c>
      <c r="B171" s="32"/>
      <c r="C171" s="33" t="s">
        <v>1917</v>
      </c>
      <c r="D171" s="74"/>
      <c r="E171" s="75" t="str">
        <f t="shared" si="33"/>
        <v/>
      </c>
      <c r="F171" s="75" t="str">
        <f t="shared" si="34"/>
        <v/>
      </c>
      <c r="G171" s="75" t="str">
        <f t="shared" si="35"/>
        <v/>
      </c>
      <c r="H171" s="75" t="str">
        <f t="shared" si="36"/>
        <v/>
      </c>
      <c r="I171" s="75" t="str">
        <f t="shared" si="37"/>
        <v/>
      </c>
      <c r="J171" s="74" t="str">
        <f t="shared" ca="1" si="38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3"/>
        <v>input starter in column D</v>
      </c>
      <c r="Q171" s="5" t="str">
        <f t="shared" si="41"/>
        <v/>
      </c>
      <c r="R171" s="10">
        <v>4</v>
      </c>
      <c r="AJ171" s="33" t="str">
        <f t="shared" ca="1" si="42"/>
        <v>NEW</v>
      </c>
    </row>
    <row r="172" spans="1:36" ht="12.75">
      <c r="A172" s="6">
        <v>9.17</v>
      </c>
      <c r="B172" s="32"/>
      <c r="C172" s="33" t="s">
        <v>1917</v>
      </c>
      <c r="D172" s="74"/>
      <c r="E172" s="75" t="str">
        <f t="shared" si="33"/>
        <v/>
      </c>
      <c r="F172" s="75" t="str">
        <f t="shared" si="34"/>
        <v/>
      </c>
      <c r="G172" s="75" t="str">
        <f t="shared" si="35"/>
        <v/>
      </c>
      <c r="H172" s="75" t="str">
        <f t="shared" si="36"/>
        <v/>
      </c>
      <c r="I172" s="75" t="str">
        <f t="shared" si="37"/>
        <v/>
      </c>
      <c r="J172" s="74" t="str">
        <f t="shared" ca="1" si="38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3"/>
        <v>input starter in column D</v>
      </c>
      <c r="Q172" s="5" t="str">
        <f t="shared" si="41"/>
        <v/>
      </c>
      <c r="R172" s="10">
        <v>1</v>
      </c>
      <c r="AJ172" s="33" t="str">
        <f t="shared" ca="1" si="42"/>
        <v>NEW</v>
      </c>
    </row>
    <row r="173" spans="1:36" ht="12.75">
      <c r="A173" s="6">
        <v>9.18</v>
      </c>
      <c r="B173" s="32"/>
      <c r="C173" s="33" t="s">
        <v>1917</v>
      </c>
      <c r="D173" s="74"/>
      <c r="E173" s="75" t="str">
        <f t="shared" si="33"/>
        <v/>
      </c>
      <c r="F173" s="75" t="str">
        <f t="shared" si="34"/>
        <v/>
      </c>
      <c r="G173" s="75" t="str">
        <f t="shared" si="35"/>
        <v/>
      </c>
      <c r="H173" s="75" t="str">
        <f t="shared" si="36"/>
        <v/>
      </c>
      <c r="I173" s="75" t="str">
        <f t="shared" si="37"/>
        <v/>
      </c>
      <c r="J173" s="74" t="str">
        <f t="shared" ca="1" si="38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3"/>
        <v>input starter in column D</v>
      </c>
      <c r="Q173" s="5" t="str">
        <f t="shared" si="41"/>
        <v/>
      </c>
      <c r="R173" s="10">
        <v>2</v>
      </c>
      <c r="AJ173" s="33" t="str">
        <f t="shared" ca="1" si="42"/>
        <v>NEW</v>
      </c>
    </row>
    <row r="174" spans="1:36" ht="12.75">
      <c r="A174" s="6">
        <v>9.19</v>
      </c>
      <c r="B174" s="32"/>
      <c r="C174" s="33" t="s">
        <v>1919</v>
      </c>
      <c r="D174" s="74"/>
      <c r="E174" s="75" t="str">
        <f t="shared" si="33"/>
        <v/>
      </c>
      <c r="F174" s="75" t="str">
        <f t="shared" si="34"/>
        <v/>
      </c>
      <c r="G174" s="75" t="str">
        <f t="shared" si="35"/>
        <v/>
      </c>
      <c r="H174" s="75" t="str">
        <f t="shared" si="36"/>
        <v/>
      </c>
      <c r="I174" s="75" t="str">
        <f t="shared" si="37"/>
        <v/>
      </c>
      <c r="J174" s="74" t="str">
        <f t="shared" ca="1" si="38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3"/>
        <v>input starter in column D</v>
      </c>
      <c r="Q174" s="5" t="str">
        <f t="shared" si="41"/>
        <v/>
      </c>
      <c r="R174" s="10">
        <v>5</v>
      </c>
      <c r="AJ174" s="33" t="str">
        <f t="shared" ca="1" si="42"/>
        <v>NEW</v>
      </c>
    </row>
    <row r="175" spans="1:36" ht="12.75">
      <c r="A175" s="6">
        <v>9.1999999999999993</v>
      </c>
      <c r="B175" s="32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42"/>
        <v/>
      </c>
    </row>
    <row r="176" spans="1:36" ht="12.75">
      <c r="A176" s="6">
        <v>9.2100000000000009</v>
      </c>
      <c r="B176" s="32"/>
      <c r="C176" s="33" t="s">
        <v>1919</v>
      </c>
      <c r="D176" s="74"/>
      <c r="E176" s="75" t="str">
        <f t="shared" si="33"/>
        <v/>
      </c>
      <c r="F176" s="75" t="str">
        <f t="shared" si="34"/>
        <v/>
      </c>
      <c r="G176" s="75" t="str">
        <f t="shared" si="35"/>
        <v/>
      </c>
      <c r="H176" s="75" t="str">
        <f t="shared" si="36"/>
        <v/>
      </c>
      <c r="I176" s="75" t="str">
        <f t="shared" si="37"/>
        <v/>
      </c>
      <c r="J176" s="74" t="str">
        <f t="shared" ca="1" si="38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4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41"/>
        <v/>
      </c>
      <c r="R176" s="10">
        <v>3</v>
      </c>
      <c r="AJ176" s="33" t="str">
        <f t="shared" ca="1" si="42"/>
        <v>NEW</v>
      </c>
    </row>
    <row r="177" spans="1:36" ht="12.75">
      <c r="A177" s="6">
        <v>9.2200000000000006</v>
      </c>
      <c r="B177" s="32"/>
      <c r="C177" s="33" t="s">
        <v>1919</v>
      </c>
      <c r="D177" s="74"/>
      <c r="E177" s="75" t="str">
        <f t="shared" si="33"/>
        <v/>
      </c>
      <c r="F177" s="75" t="str">
        <f t="shared" si="34"/>
        <v/>
      </c>
      <c r="G177" s="75" t="str">
        <f t="shared" si="35"/>
        <v/>
      </c>
      <c r="H177" s="75" t="str">
        <f t="shared" si="36"/>
        <v/>
      </c>
      <c r="I177" s="75" t="str">
        <f t="shared" si="37"/>
        <v/>
      </c>
      <c r="J177" s="74" t="str">
        <f t="shared" ca="1" si="38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4"/>
        <v>input starter in column D</v>
      </c>
      <c r="Q177" s="5" t="str">
        <f t="shared" si="41"/>
        <v/>
      </c>
      <c r="R177" s="10">
        <v>1</v>
      </c>
      <c r="AJ177" s="33" t="str">
        <f t="shared" ca="1" si="42"/>
        <v>NEW</v>
      </c>
    </row>
    <row r="178" spans="1:36" ht="12.75">
      <c r="A178" s="6">
        <v>9.23</v>
      </c>
      <c r="B178" s="32"/>
      <c r="C178" s="33" t="s">
        <v>1919</v>
      </c>
      <c r="D178" s="74"/>
      <c r="E178" s="75" t="str">
        <f t="shared" si="33"/>
        <v/>
      </c>
      <c r="F178" s="75" t="str">
        <f t="shared" si="34"/>
        <v/>
      </c>
      <c r="G178" s="75" t="str">
        <f t="shared" si="35"/>
        <v/>
      </c>
      <c r="H178" s="75" t="str">
        <f t="shared" si="36"/>
        <v/>
      </c>
      <c r="I178" s="75" t="str">
        <f t="shared" si="37"/>
        <v/>
      </c>
      <c r="J178" s="74" t="str">
        <f t="shared" ca="1" si="38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4"/>
        <v>input starter in column D</v>
      </c>
      <c r="Q178" s="5" t="str">
        <f t="shared" si="41"/>
        <v/>
      </c>
      <c r="R178" s="10">
        <v>2</v>
      </c>
      <c r="AJ178" s="33" t="str">
        <f t="shared" ca="1" si="42"/>
        <v>NEW</v>
      </c>
    </row>
    <row r="179" spans="1:36" ht="12.75">
      <c r="A179" s="6">
        <v>9.24</v>
      </c>
      <c r="B179" s="32"/>
      <c r="C179" s="33" t="s">
        <v>42</v>
      </c>
      <c r="D179" s="74"/>
      <c r="E179" s="75" t="str">
        <f t="shared" si="33"/>
        <v/>
      </c>
      <c r="F179" s="75" t="str">
        <f t="shared" si="34"/>
        <v/>
      </c>
      <c r="G179" s="75" t="str">
        <f t="shared" si="35"/>
        <v/>
      </c>
      <c r="H179" s="75" t="str">
        <f t="shared" si="36"/>
        <v/>
      </c>
      <c r="I179" s="75" t="str">
        <f t="shared" si="37"/>
        <v/>
      </c>
      <c r="J179" s="74" t="str">
        <f t="shared" ca="1" si="38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4"/>
        <v>input starter in column D</v>
      </c>
      <c r="Q179" s="5" t="str">
        <f t="shared" si="41"/>
        <v/>
      </c>
      <c r="R179" s="10">
        <v>4</v>
      </c>
      <c r="AJ179" s="33" t="str">
        <f t="shared" ca="1" si="42"/>
        <v>NEW</v>
      </c>
    </row>
    <row r="180" spans="1:36" ht="12.75">
      <c r="A180" s="6">
        <v>9.25</v>
      </c>
      <c r="B180" s="35"/>
      <c r="C180" s="33" t="s">
        <v>42</v>
      </c>
      <c r="D180" s="74"/>
      <c r="E180" s="75" t="str">
        <f t="shared" si="33"/>
        <v/>
      </c>
      <c r="F180" s="75" t="str">
        <f t="shared" si="34"/>
        <v/>
      </c>
      <c r="G180" s="75" t="str">
        <f t="shared" si="35"/>
        <v/>
      </c>
      <c r="H180" s="75" t="str">
        <f t="shared" si="36"/>
        <v/>
      </c>
      <c r="I180" s="75" t="str">
        <f t="shared" si="37"/>
        <v/>
      </c>
      <c r="J180" s="74" t="str">
        <f t="shared" ca="1" si="38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4"/>
        <v>input starter in column D</v>
      </c>
      <c r="Q180" s="5" t="str">
        <f t="shared" si="41"/>
        <v/>
      </c>
      <c r="R180" s="10">
        <v>5</v>
      </c>
      <c r="AJ180" s="33" t="str">
        <f t="shared" ca="1" si="42"/>
        <v>NEW</v>
      </c>
    </row>
    <row r="181" spans="1:36" ht="12.75">
      <c r="A181" s="6">
        <v>9.26</v>
      </c>
      <c r="B181" s="32"/>
      <c r="C181" s="33" t="s">
        <v>42</v>
      </c>
      <c r="D181" s="74"/>
      <c r="E181" s="75" t="str">
        <f t="shared" si="33"/>
        <v/>
      </c>
      <c r="F181" s="75" t="str">
        <f t="shared" si="34"/>
        <v/>
      </c>
      <c r="G181" s="75" t="str">
        <f t="shared" si="35"/>
        <v/>
      </c>
      <c r="H181" s="75" t="str">
        <f t="shared" si="36"/>
        <v/>
      </c>
      <c r="I181" s="75" t="str">
        <f t="shared" si="37"/>
        <v/>
      </c>
      <c r="J181" s="74" t="str">
        <f t="shared" ca="1" si="38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4"/>
        <v>input starter in column D</v>
      </c>
      <c r="Q181" s="5" t="str">
        <f t="shared" si="41"/>
        <v/>
      </c>
      <c r="R181" s="10">
        <v>3</v>
      </c>
      <c r="AJ181" s="33" t="str">
        <f t="shared" ca="1" si="42"/>
        <v>NEW</v>
      </c>
    </row>
    <row r="182" spans="1:36" ht="12.75">
      <c r="A182" s="6">
        <v>9.27</v>
      </c>
      <c r="B182" s="32"/>
      <c r="C182" s="33" t="s">
        <v>35</v>
      </c>
      <c r="D182" s="74"/>
      <c r="E182" s="75" t="str">
        <f t="shared" si="33"/>
        <v/>
      </c>
      <c r="F182" s="75" t="str">
        <f t="shared" si="34"/>
        <v/>
      </c>
      <c r="G182" s="75" t="str">
        <f t="shared" si="35"/>
        <v/>
      </c>
      <c r="H182" s="75" t="str">
        <f t="shared" si="36"/>
        <v/>
      </c>
      <c r="I182" s="75" t="str">
        <f t="shared" si="37"/>
        <v/>
      </c>
      <c r="J182" s="74" t="str">
        <f t="shared" ca="1" si="38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4"/>
        <v>input starter in column D</v>
      </c>
      <c r="Q182" s="5" t="str">
        <f t="shared" si="41"/>
        <v/>
      </c>
      <c r="R182" s="10">
        <v>1</v>
      </c>
      <c r="AJ182" s="33" t="str">
        <f t="shared" ca="1" si="42"/>
        <v>NEW</v>
      </c>
    </row>
    <row r="183" spans="1:36" ht="12.75">
      <c r="A183" s="6">
        <v>9.2799999999999994</v>
      </c>
      <c r="B183" s="32"/>
      <c r="C183" s="33" t="s">
        <v>35</v>
      </c>
      <c r="D183" s="74"/>
      <c r="E183" s="75" t="str">
        <f t="shared" si="33"/>
        <v/>
      </c>
      <c r="F183" s="75" t="str">
        <f t="shared" si="34"/>
        <v/>
      </c>
      <c r="G183" s="75" t="str">
        <f t="shared" si="35"/>
        <v/>
      </c>
      <c r="H183" s="75" t="str">
        <f t="shared" si="36"/>
        <v/>
      </c>
      <c r="I183" s="75" t="str">
        <f t="shared" si="37"/>
        <v/>
      </c>
      <c r="J183" s="74" t="str">
        <f t="shared" ca="1" si="38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4"/>
        <v>input starter in column D</v>
      </c>
      <c r="Q183" s="5" t="str">
        <f t="shared" si="41"/>
        <v/>
      </c>
      <c r="R183" s="10">
        <v>2</v>
      </c>
      <c r="AJ183" s="33" t="str">
        <f t="shared" ca="1" si="42"/>
        <v>NEW</v>
      </c>
    </row>
    <row r="184" spans="1:36" ht="12.75">
      <c r="A184" s="6">
        <v>9.2899999999999991</v>
      </c>
      <c r="B184" s="32"/>
      <c r="C184" s="33" t="s">
        <v>35</v>
      </c>
      <c r="D184" s="74"/>
      <c r="E184" s="75" t="str">
        <f t="shared" si="33"/>
        <v/>
      </c>
      <c r="F184" s="75" t="str">
        <f t="shared" si="34"/>
        <v/>
      </c>
      <c r="G184" s="75" t="str">
        <f t="shared" si="35"/>
        <v/>
      </c>
      <c r="H184" s="75" t="str">
        <f t="shared" si="36"/>
        <v/>
      </c>
      <c r="I184" s="75" t="str">
        <f t="shared" si="37"/>
        <v/>
      </c>
      <c r="J184" s="74" t="str">
        <f t="shared" ca="1" si="38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4"/>
        <v>input starter in column D</v>
      </c>
      <c r="Q184" s="5" t="str">
        <f t="shared" si="41"/>
        <v/>
      </c>
      <c r="R184" s="10">
        <v>4</v>
      </c>
      <c r="AJ184" s="33" t="str">
        <f t="shared" ca="1" si="42"/>
        <v>NEW</v>
      </c>
    </row>
    <row r="185" spans="1:36" ht="12.75">
      <c r="A185" s="6">
        <v>9.3000000000000007</v>
      </c>
      <c r="B185" s="32"/>
      <c r="C185" s="33" t="s">
        <v>35</v>
      </c>
      <c r="D185" s="74"/>
      <c r="E185" s="75" t="str">
        <f t="shared" si="33"/>
        <v/>
      </c>
      <c r="F185" s="75" t="str">
        <f t="shared" si="34"/>
        <v/>
      </c>
      <c r="G185" s="75" t="str">
        <f t="shared" si="35"/>
        <v/>
      </c>
      <c r="H185" s="75" t="str">
        <f t="shared" si="36"/>
        <v/>
      </c>
      <c r="I185" s="75" t="str">
        <f t="shared" si="37"/>
        <v/>
      </c>
      <c r="J185" s="74" t="str">
        <f t="shared" ca="1" si="38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4"/>
        <v>input starter in column D</v>
      </c>
      <c r="Q185" s="5" t="str">
        <f t="shared" si="41"/>
        <v/>
      </c>
      <c r="R185" s="10">
        <v>5</v>
      </c>
      <c r="AJ185" s="33" t="str">
        <f t="shared" ca="1" si="42"/>
        <v>NEW</v>
      </c>
    </row>
    <row r="186" spans="1:36">
      <c r="A186" s="6"/>
      <c r="B186" s="6"/>
      <c r="D186" s="15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6"/>
      <c r="B190" s="6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A191" s="6"/>
      <c r="B191" s="6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Q191" s="5"/>
      <c r="R191" s="10"/>
      <c r="AJ191" s="2"/>
    </row>
    <row r="192" spans="1:36">
      <c r="A192" s="6"/>
      <c r="B192" s="6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Q192" s="5"/>
      <c r="R192" s="10"/>
      <c r="AJ192" s="2"/>
    </row>
    <row r="193" spans="1:36">
      <c r="A193" s="6"/>
      <c r="B193" s="6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Q193" s="5"/>
      <c r="R193" s="10"/>
      <c r="AJ193" s="2"/>
    </row>
    <row r="194" spans="1:36">
      <c r="D194" s="15"/>
      <c r="K194" s="2"/>
      <c r="AJ194" s="2"/>
    </row>
    <row r="195" spans="1:36">
      <c r="D195" s="15"/>
      <c r="K195" s="2"/>
      <c r="AJ195" s="2"/>
    </row>
    <row r="196" spans="1:36">
      <c r="K196" s="2"/>
      <c r="AJ196" s="2"/>
    </row>
    <row r="197" spans="1:36">
      <c r="K197" s="2"/>
      <c r="AJ197" s="2"/>
    </row>
    <row r="198" spans="1:36">
      <c r="K198" s="2"/>
      <c r="AJ198" s="2"/>
    </row>
    <row r="199" spans="1:36">
      <c r="K199" s="2"/>
      <c r="AJ199" s="2"/>
    </row>
    <row r="200" spans="1:36">
      <c r="K200" s="2"/>
      <c r="AJ200" s="2"/>
    </row>
    <row r="201" spans="1:36">
      <c r="K201" s="2"/>
      <c r="AJ201" s="2"/>
    </row>
    <row r="202" spans="1:36">
      <c r="K202" s="2"/>
      <c r="AJ202" s="2"/>
    </row>
    <row r="203" spans="1:36">
      <c r="K203" s="2"/>
      <c r="AJ203" s="2"/>
    </row>
    <row r="204" spans="1:36">
      <c r="AJ204" s="2"/>
    </row>
    <row r="205" spans="1:36">
      <c r="AJ205" s="2"/>
    </row>
    <row r="206" spans="1:36">
      <c r="AJ206" s="2"/>
    </row>
    <row r="207" spans="1:36">
      <c r="AJ207" s="2"/>
    </row>
    <row r="208" spans="1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L3:AL22 AG3:AH22">
    <cfRule type="cellIs" dxfId="3105" priority="441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104" priority="442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3103" priority="443" stopIfTrue="1" operator="equal">
      <formula>"input a different starter in column C"</formula>
    </cfRule>
  </conditionalFormatting>
  <conditionalFormatting sqref="AL23 AG23:AH23">
    <cfRule type="cellIs" dxfId="3102" priority="445" stopIfTrue="1" operator="equal">
      <formula>"must have 162 starts"</formula>
    </cfRule>
  </conditionalFormatting>
  <conditionalFormatting sqref="P3">
    <cfRule type="cellIs" dxfId="3101" priority="331" stopIfTrue="1" operator="equal">
      <formula>"input starter in column D"</formula>
    </cfRule>
  </conditionalFormatting>
  <conditionalFormatting sqref="P4">
    <cfRule type="cellIs" dxfId="3100" priority="330" stopIfTrue="1" operator="equal">
      <formula>"input starter in column D"</formula>
    </cfRule>
  </conditionalFormatting>
  <conditionalFormatting sqref="P5:P6 P8:P11 P13:P16 P18:P21 P23:P26 P28:P31 P33:P40 P42:P47 P49:P54 P56:P61 P63:P69 P71:P82 P84:P89 P91:P102 P106:P123 P125:P137 P139:P155 P157:P163 P165:P174 P176:P185">
    <cfRule type="cellIs" dxfId="3099" priority="329" stopIfTrue="1" operator="equal">
      <formula>"INPUT STARTER IN COLUMN D"</formula>
    </cfRule>
  </conditionalFormatting>
  <conditionalFormatting sqref="Q2">
    <cfRule type="cellIs" dxfId="3098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7758" divId="ROTcheck_27758" sourceType="sheet" destinationFile="C:\1kading\schedule\skedosh.html"/>
    <webPublishItem id="18981" divId="ROTcheck_18981" sourceType="range" sourceRef="A1:O193" destinationFile="C:\1kading\schedule\skedosh.html"/>
    <webPublishItem id="22501" divId="ROTcheck_22501" sourceType="range" sourceRef="A156:O185" destinationFile="C:\1kading\schedule\skedosh.html"/>
  </webPublishItems>
</worksheet>
</file>

<file path=xl/worksheets/sheet21.xml><?xml version="1.0" encoding="utf-8"?>
<worksheet xmlns="http://schemas.openxmlformats.org/spreadsheetml/2006/main" xmlns:r="http://schemas.openxmlformats.org/officeDocument/2006/relationships">
  <dimension ref="A1:AJ217"/>
  <sheetViews>
    <sheetView zoomScale="75" zoomScaleNormal="75" workbookViewId="0"/>
  </sheetViews>
  <sheetFormatPr defaultRowHeight="11.25"/>
  <cols>
    <col min="1" max="1" width="6.5703125" style="2" customWidth="1"/>
    <col min="2" max="2" width="3.7109375" style="2" customWidth="1"/>
    <col min="3" max="3" width="5.85546875" style="2" customWidth="1"/>
    <col min="4" max="4" width="25.425781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20.425781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8554687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1918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/>
      <c r="C3" s="33" t="s">
        <v>16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160</v>
      </c>
      <c r="T3" s="46" t="str">
        <f>IF(ISERROR((VLOOKUP(S3,Pitchers!$B$1:H$800,4,FALSE))),"",(VLOOKUP(S3,Pitchers!$B$1:H$800,4,FALSE)))</f>
        <v>COL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6</v>
      </c>
      <c r="X3" s="47">
        <f>IF(ISERROR((VLOOKUP(S3,Pitchers!B$2:AA$795,11,FALSE))),"",(VLOOKUP(S3,Pitchers!B$2:AA$795,11,FALSE)))</f>
        <v>115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Y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NJJ</v>
      </c>
    </row>
    <row r="4" spans="1:36" ht="12.75" customHeight="1">
      <c r="A4" s="6">
        <v>4.0199999999999996</v>
      </c>
      <c r="B4" s="33"/>
      <c r="C4" s="33" t="s">
        <v>16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1113</v>
      </c>
      <c r="T4" s="46" t="str">
        <f>IF(ISERROR((VLOOKUP(S4,Pitchers!$B$1:H$800,4,FALSE))),"",(VLOOKUP(S4,Pitchers!$B$1:H$800,4,FALSE)))</f>
        <v>DET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5</v>
      </c>
      <c r="X4" s="47">
        <f>IF(ISERROR((VLOOKUP(S4,Pitchers!B$2:AA$795,11,FALSE))),"",(VLOOKUP(S4,Pitchers!B$2:AA$795,11,FALSE)))</f>
        <v>187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 xml:space="preserve"> 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NJJ</v>
      </c>
    </row>
    <row r="5" spans="1:36" ht="12.75" customHeight="1">
      <c r="A5" s="6">
        <v>4.03</v>
      </c>
      <c r="B5" s="33"/>
      <c r="C5" s="33" t="s">
        <v>16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399</v>
      </c>
      <c r="T5" s="46" t="str">
        <f>IF(ISERROR((VLOOKUP(S5,Pitchers!$B$1:H$800,4,FALSE))),"",(VLOOKUP(S5,Pitchers!$B$1:H$800,4,FALSE)))</f>
        <v>SFG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5</v>
      </c>
      <c r="X5" s="47">
        <f>IF(ISERROR((VLOOKUP(S5,Pitchers!B$2:AA$795,11,FALSE))),"",(VLOOKUP(S5,Pitchers!B$2:AA$795,11,FALSE)))</f>
        <v>122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NJJ</v>
      </c>
    </row>
    <row r="6" spans="1:36" ht="12.75" customHeight="1">
      <c r="A6" s="6">
        <v>4.04</v>
      </c>
      <c r="B6" s="33"/>
      <c r="C6" s="33" t="s">
        <v>16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207</v>
      </c>
      <c r="T6" s="46" t="str">
        <f>IF(ISERROR((VLOOKUP(S6,Pitchers!$B$1:H$800,4,FALSE))),"",(VLOOKUP(S6,Pitchers!$B$1:H$800,4,FALSE)))</f>
        <v>SDP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4</v>
      </c>
      <c r="X6" s="47">
        <f>IF(ISERROR((VLOOKUP(S6,Pitchers!B$2:AA$795,11,FALSE))),"",(VLOOKUP(S6,Pitchers!B$2:AA$795,11,FALSE)))</f>
        <v>185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NJJ</v>
      </c>
    </row>
    <row r="7" spans="1:36" ht="12.75" customHeight="1">
      <c r="A7" s="6">
        <v>4.05</v>
      </c>
      <c r="B7" s="33"/>
      <c r="C7" s="36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373</v>
      </c>
      <c r="T7" s="46" t="str">
        <f>IF(ISERROR((VLOOKUP(S7,Pitchers!$B$1:H$800,4,FALSE))),"",(VLOOKUP(S7,Pitchers!$B$1:H$800,4,FALSE)))</f>
        <v>PHI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4</v>
      </c>
      <c r="X7" s="47">
        <f>IF(ISERROR((VLOOKUP(S7,Pitchers!B$2:AA$795,11,FALSE))),"",(VLOOKUP(S7,Pitchers!B$2:AA$795,11,FALSE)))</f>
        <v>173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 customHeight="1">
      <c r="A8" s="6">
        <v>4.0599999999999996</v>
      </c>
      <c r="B8" s="33" t="s">
        <v>32</v>
      </c>
      <c r="C8" s="33" t="s">
        <v>1917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555</v>
      </c>
      <c r="T8" s="46" t="str">
        <f>IF(ISERROR((VLOOKUP(S8,Pitchers!$B$1:H$800,4,FALSE))),"",(VLOOKUP(S8,Pitchers!$B$1:H$800,4,FALSE)))</f>
        <v>MIN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165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>G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NJJ</v>
      </c>
    </row>
    <row r="9" spans="1:36" ht="12.75" customHeight="1">
      <c r="A9" s="6">
        <v>4.07</v>
      </c>
      <c r="B9" s="33" t="s">
        <v>32</v>
      </c>
      <c r="C9" s="33" t="s">
        <v>1917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1824</v>
      </c>
      <c r="T9" s="46" t="str">
        <f>IF(ISERROR((VLOOKUP(S9,Pitchers!$B$1:H$800,4,FALSE))),"",(VLOOKUP(S9,Pitchers!$B$1:H$800,4,FALSE)))</f>
        <v>CHC</v>
      </c>
      <c r="U9" s="45" t="str">
        <f>IF(ISERROR((VLOOKUP(S9,Pitchers!B$2:AA$795,10,FALSE))),"",(VLOOKUP(S9,Pitchers!B$2:AA$795,10,FALSE)))</f>
        <v>L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18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>Z</v>
      </c>
      <c r="AD9" s="53" t="str">
        <f>IF(ISERROR((VLOOKUP(S9,Pitchers!B$2:AA$795,18,FALSE))),"",(VLOOKUP(S9,Pitchers!B$2:AA$795,18,FALSE)))</f>
        <v>G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NJJ</v>
      </c>
    </row>
    <row r="10" spans="1:36" ht="12.75" customHeight="1">
      <c r="A10" s="6">
        <v>4.08</v>
      </c>
      <c r="B10" s="33" t="s">
        <v>32</v>
      </c>
      <c r="C10" s="33" t="s">
        <v>1917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450</v>
      </c>
      <c r="T10" s="46" t="str">
        <f>IF(ISERROR((VLOOKUP(S10,Pitchers!$B$1:H$800,4,FALSE))),"",(VLOOKUP(S10,Pitchers!$B$1:H$800,4,FALSE)))</f>
        <v>TOT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3</v>
      </c>
      <c r="X10" s="47">
        <f>IF(ISERROR((VLOOKUP(S10,Pitchers!B$2:AA$795,11,FALSE))),"",(VLOOKUP(S10,Pitchers!B$2:AA$795,11,FALSE)))</f>
        <v>112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Y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NJJ</v>
      </c>
    </row>
    <row r="11" spans="1:36" ht="12.75" customHeight="1">
      <c r="A11" s="6">
        <v>4.09</v>
      </c>
      <c r="B11" s="33" t="s">
        <v>32</v>
      </c>
      <c r="C11" s="33" t="s">
        <v>1917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/>
      <c r="T11" s="46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NJJ</v>
      </c>
    </row>
    <row r="12" spans="1:36" ht="12.75" customHeight="1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7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 customHeight="1">
      <c r="A13" s="6">
        <v>4.1100000000000003</v>
      </c>
      <c r="B13" s="32" t="s">
        <v>32</v>
      </c>
      <c r="C13" s="33" t="s">
        <v>39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78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NJJ</v>
      </c>
    </row>
    <row r="14" spans="1:36" ht="12.75" customHeight="1">
      <c r="A14" s="6">
        <v>4.12</v>
      </c>
      <c r="B14" s="32" t="s">
        <v>32</v>
      </c>
      <c r="C14" s="33" t="s">
        <v>39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NJJ</v>
      </c>
    </row>
    <row r="15" spans="1:36" ht="12.75" customHeight="1">
      <c r="A15" s="6">
        <v>4.13</v>
      </c>
      <c r="B15" s="32" t="s">
        <v>32</v>
      </c>
      <c r="C15" s="33" t="s">
        <v>39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NJJ</v>
      </c>
    </row>
    <row r="16" spans="1:36" ht="12.75" customHeight="1">
      <c r="A16" s="6">
        <v>4.1399999999999997</v>
      </c>
      <c r="B16" s="32" t="s">
        <v>32</v>
      </c>
      <c r="C16" s="33" t="s">
        <v>39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NJJ</v>
      </c>
    </row>
    <row r="17" spans="1:36" ht="12.75" customHeight="1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 customHeight="1">
      <c r="A18" s="6">
        <v>4.16</v>
      </c>
      <c r="B18" s="33"/>
      <c r="C18" s="33" t="s">
        <v>52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NJJ</v>
      </c>
    </row>
    <row r="19" spans="1:36" ht="12.75" customHeight="1">
      <c r="A19" s="6">
        <v>4.17</v>
      </c>
      <c r="B19" s="33"/>
      <c r="C19" s="33" t="s">
        <v>52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NJJ</v>
      </c>
    </row>
    <row r="20" spans="1:36" ht="12.75" customHeight="1">
      <c r="A20" s="6">
        <v>4.18</v>
      </c>
      <c r="B20" s="33"/>
      <c r="C20" s="33" t="s">
        <v>52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NJJ</v>
      </c>
    </row>
    <row r="21" spans="1:36" ht="12.75" customHeight="1">
      <c r="A21" s="6">
        <v>4.1900000000000004</v>
      </c>
      <c r="B21" s="33"/>
      <c r="C21" s="33" t="s">
        <v>52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NJJ</v>
      </c>
    </row>
    <row r="22" spans="1:36" ht="12.75" customHeight="1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 customHeight="1">
      <c r="A23" s="6">
        <v>4.21</v>
      </c>
      <c r="B23" s="33"/>
      <c r="C23" s="33" t="s">
        <v>44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NJJ</v>
      </c>
    </row>
    <row r="24" spans="1:36" ht="12.75" customHeight="1">
      <c r="A24" s="6">
        <v>4.22</v>
      </c>
      <c r="B24" s="33"/>
      <c r="C24" s="33" t="s">
        <v>44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NJJ</v>
      </c>
    </row>
    <row r="25" spans="1:36" ht="12.75" customHeight="1">
      <c r="A25" s="6">
        <v>4.2300000000000004</v>
      </c>
      <c r="B25" s="33"/>
      <c r="C25" s="33" t="s">
        <v>44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NJJ</v>
      </c>
    </row>
    <row r="26" spans="1:36" ht="12.75" customHeight="1">
      <c r="A26" s="6">
        <v>4.24</v>
      </c>
      <c r="B26" s="33"/>
      <c r="C26" s="33" t="s">
        <v>44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NJJ</v>
      </c>
    </row>
    <row r="27" spans="1:36" ht="12.75" customHeight="1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 customHeight="1">
      <c r="A28" s="6">
        <v>4.26</v>
      </c>
      <c r="B28" s="33" t="s">
        <v>32</v>
      </c>
      <c r="C28" s="33" t="s">
        <v>54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NJJ</v>
      </c>
    </row>
    <row r="29" spans="1:36" ht="12.75" customHeight="1">
      <c r="A29" s="6">
        <v>4.2699999999999996</v>
      </c>
      <c r="B29" s="33" t="s">
        <v>32</v>
      </c>
      <c r="C29" s="33" t="s">
        <v>54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NJJ</v>
      </c>
    </row>
    <row r="30" spans="1:36" ht="12.75" customHeight="1">
      <c r="A30" s="6">
        <v>4.28</v>
      </c>
      <c r="B30" s="33" t="s">
        <v>32</v>
      </c>
      <c r="C30" s="33" t="s">
        <v>54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NJJ</v>
      </c>
    </row>
    <row r="31" spans="1:36" ht="12.75" customHeight="1">
      <c r="A31" s="6">
        <v>4.29</v>
      </c>
      <c r="B31" s="33" t="s">
        <v>32</v>
      </c>
      <c r="C31" s="33" t="s">
        <v>54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NJJ</v>
      </c>
    </row>
    <row r="32" spans="1:36" ht="12.75" customHeight="1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 customHeight="1">
      <c r="A33" s="6">
        <v>5.01</v>
      </c>
      <c r="B33" s="33" t="s">
        <v>32</v>
      </c>
      <c r="C33" s="33" t="s">
        <v>1191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NJJ</v>
      </c>
    </row>
    <row r="34" spans="1:36" ht="12.75" customHeight="1">
      <c r="A34" s="6">
        <v>5.0199999999999996</v>
      </c>
      <c r="B34" s="33" t="s">
        <v>32</v>
      </c>
      <c r="C34" s="33" t="s">
        <v>1191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NJJ</v>
      </c>
    </row>
    <row r="35" spans="1:36" ht="12.75" customHeight="1">
      <c r="A35" s="6">
        <v>5.03</v>
      </c>
      <c r="B35" s="33" t="s">
        <v>32</v>
      </c>
      <c r="C35" s="33" t="s">
        <v>1191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NJJ</v>
      </c>
    </row>
    <row r="36" spans="1:36" ht="12.75" customHeight="1">
      <c r="A36" s="6">
        <v>5.04</v>
      </c>
      <c r="B36" s="33" t="s">
        <v>32</v>
      </c>
      <c r="C36" s="33" t="s">
        <v>1191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NJJ</v>
      </c>
    </row>
    <row r="37" spans="1:36" ht="12.75" customHeight="1">
      <c r="A37" s="6">
        <v>5.05</v>
      </c>
      <c r="B37" s="33"/>
      <c r="C37" s="33" t="s">
        <v>46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NJJ</v>
      </c>
    </row>
    <row r="38" spans="1:36" ht="12.75" customHeight="1">
      <c r="A38" s="6">
        <v>5.0599999999999996</v>
      </c>
      <c r="B38" s="33"/>
      <c r="C38" s="33" t="s">
        <v>46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NJJ</v>
      </c>
    </row>
    <row r="39" spans="1:36" ht="12.75" customHeight="1">
      <c r="A39" s="6">
        <v>5.07</v>
      </c>
      <c r="B39" s="33"/>
      <c r="C39" s="33" t="s">
        <v>46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NJJ</v>
      </c>
    </row>
    <row r="40" spans="1:36" ht="12.75" customHeight="1">
      <c r="A40" s="6">
        <v>5.08</v>
      </c>
      <c r="B40" s="33"/>
      <c r="C40" s="33" t="s">
        <v>46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NJJ</v>
      </c>
    </row>
    <row r="41" spans="1:36" ht="12.75" customHeight="1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 customHeight="1">
      <c r="A42" s="6">
        <v>5.0999999999999996</v>
      </c>
      <c r="B42" s="33"/>
      <c r="C42" s="33" t="s">
        <v>42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NJJ</v>
      </c>
    </row>
    <row r="43" spans="1:36" ht="12.75" customHeight="1">
      <c r="A43" s="6">
        <v>5.1100000000000003</v>
      </c>
      <c r="B43" s="33"/>
      <c r="C43" s="33" t="s">
        <v>42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NJJ</v>
      </c>
    </row>
    <row r="44" spans="1:36" ht="12.75" customHeight="1">
      <c r="A44" s="6">
        <v>5.12</v>
      </c>
      <c r="B44" s="33"/>
      <c r="C44" s="33" t="s">
        <v>42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NJJ</v>
      </c>
    </row>
    <row r="45" spans="1:36" ht="12.75" customHeight="1">
      <c r="A45" s="6">
        <v>5.13</v>
      </c>
      <c r="B45" s="33"/>
      <c r="C45" s="33" t="s">
        <v>42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NJJ</v>
      </c>
    </row>
    <row r="46" spans="1:36" ht="12.75" customHeight="1">
      <c r="A46" s="6">
        <v>5.14</v>
      </c>
      <c r="B46" s="33"/>
      <c r="C46" s="33" t="s">
        <v>40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NJJ</v>
      </c>
    </row>
    <row r="47" spans="1:36" ht="12.75" customHeight="1">
      <c r="A47" s="6">
        <v>5.15</v>
      </c>
      <c r="B47" s="33"/>
      <c r="C47" s="33" t="s">
        <v>40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NJJ</v>
      </c>
    </row>
    <row r="48" spans="1:36" ht="12.75" customHeight="1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 customHeight="1">
      <c r="A49" s="6">
        <v>5.17</v>
      </c>
      <c r="B49" s="33"/>
      <c r="C49" s="33" t="s">
        <v>40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NJJ</v>
      </c>
    </row>
    <row r="50" spans="1:36" ht="12.75" customHeight="1">
      <c r="A50" s="6">
        <v>5.18</v>
      </c>
      <c r="B50" s="33"/>
      <c r="C50" s="33" t="s">
        <v>40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NJJ</v>
      </c>
    </row>
    <row r="51" spans="1:36" ht="12.75" customHeight="1">
      <c r="A51" s="6">
        <v>5.19</v>
      </c>
      <c r="B51" s="33" t="s">
        <v>32</v>
      </c>
      <c r="C51" s="33" t="s">
        <v>1919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NJJ</v>
      </c>
    </row>
    <row r="52" spans="1:36" ht="12.75" customHeight="1">
      <c r="A52" s="6">
        <v>5.2</v>
      </c>
      <c r="B52" s="33" t="s">
        <v>32</v>
      </c>
      <c r="C52" s="33" t="s">
        <v>1919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NJJ</v>
      </c>
    </row>
    <row r="53" spans="1:36" ht="12.75" customHeight="1">
      <c r="A53" s="6">
        <v>5.21</v>
      </c>
      <c r="B53" s="33" t="s">
        <v>32</v>
      </c>
      <c r="C53" s="33" t="s">
        <v>1919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NJJ</v>
      </c>
    </row>
    <row r="54" spans="1:36" ht="12.75" customHeight="1">
      <c r="A54" s="6">
        <v>5.22</v>
      </c>
      <c r="B54" s="33" t="s">
        <v>32</v>
      </c>
      <c r="C54" s="33" t="s">
        <v>1919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NJJ</v>
      </c>
    </row>
    <row r="55" spans="1:36" ht="12.75" customHeight="1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 customHeight="1">
      <c r="A56" s="6">
        <v>5.24</v>
      </c>
      <c r="B56" s="33"/>
      <c r="C56" s="33" t="s">
        <v>12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NJJ</v>
      </c>
    </row>
    <row r="57" spans="1:36" ht="12.75" customHeight="1">
      <c r="A57" s="6">
        <v>5.25</v>
      </c>
      <c r="B57" s="33"/>
      <c r="C57" s="33" t="s">
        <v>12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NJJ</v>
      </c>
    </row>
    <row r="58" spans="1:36" ht="12.75" customHeight="1">
      <c r="A58" s="6">
        <v>5.26</v>
      </c>
      <c r="B58" s="33"/>
      <c r="C58" s="33" t="s">
        <v>12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NJJ</v>
      </c>
    </row>
    <row r="59" spans="1:36" ht="12.75" customHeight="1">
      <c r="A59" s="6">
        <v>5.27</v>
      </c>
      <c r="B59" s="33"/>
      <c r="C59" s="33" t="s">
        <v>12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NJJ</v>
      </c>
    </row>
    <row r="60" spans="1:36" ht="12.75" customHeight="1">
      <c r="A60" s="6">
        <v>5.28</v>
      </c>
      <c r="B60" s="33"/>
      <c r="C60" s="33" t="s">
        <v>13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NJJ</v>
      </c>
    </row>
    <row r="61" spans="1:36" ht="12.75" customHeight="1">
      <c r="A61" s="6">
        <v>5.29</v>
      </c>
      <c r="B61" s="33"/>
      <c r="C61" s="33" t="s">
        <v>13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NJJ</v>
      </c>
    </row>
    <row r="62" spans="1:36" ht="12.75" customHeight="1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 customHeight="1">
      <c r="A63" s="6">
        <v>5.31</v>
      </c>
      <c r="B63" s="33"/>
      <c r="C63" s="33" t="s">
        <v>13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NJJ</v>
      </c>
    </row>
    <row r="64" spans="1:36" ht="12.75" customHeight="1">
      <c r="A64" s="6">
        <v>6.01</v>
      </c>
      <c r="B64" s="33"/>
      <c r="C64" s="33" t="s">
        <v>34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NJJ</v>
      </c>
    </row>
    <row r="65" spans="1:36" ht="12.75" customHeight="1">
      <c r="A65" s="6">
        <v>6.02</v>
      </c>
      <c r="B65" s="33"/>
      <c r="C65" s="33" t="s">
        <v>34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NJJ</v>
      </c>
    </row>
    <row r="66" spans="1:36" ht="12.75" customHeight="1">
      <c r="A66" s="6">
        <v>6.03</v>
      </c>
      <c r="B66" s="33"/>
      <c r="C66" s="33" t="s">
        <v>34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NJJ</v>
      </c>
    </row>
    <row r="67" spans="1:36" ht="12.75" customHeight="1">
      <c r="A67" s="6">
        <v>6.04</v>
      </c>
      <c r="B67" s="33"/>
      <c r="C67" s="33" t="s">
        <v>34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NJJ</v>
      </c>
    </row>
    <row r="68" spans="1:36" ht="12.75" customHeight="1">
      <c r="A68" s="6">
        <v>6.05</v>
      </c>
      <c r="B68" s="33"/>
      <c r="C68" s="33" t="s">
        <v>45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NJJ</v>
      </c>
    </row>
    <row r="69" spans="1:36" ht="12.75" customHeight="1">
      <c r="A69" s="6">
        <v>6.06</v>
      </c>
      <c r="B69" s="33"/>
      <c r="C69" s="33" t="s">
        <v>45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NJJ</v>
      </c>
    </row>
    <row r="70" spans="1:36" ht="12.75" customHeight="1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 customHeight="1">
      <c r="A71" s="6">
        <v>6.08</v>
      </c>
      <c r="B71" s="33"/>
      <c r="C71" s="33" t="s">
        <v>45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NJJ</v>
      </c>
    </row>
    <row r="72" spans="1:36" ht="12.75" customHeight="1">
      <c r="A72" s="6">
        <v>6.09</v>
      </c>
      <c r="B72" s="33"/>
      <c r="C72" s="33" t="s">
        <v>45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NJJ</v>
      </c>
    </row>
    <row r="73" spans="1:36" ht="12.75" customHeight="1">
      <c r="A73" s="6">
        <v>6.1</v>
      </c>
      <c r="B73" s="32" t="s">
        <v>32</v>
      </c>
      <c r="C73" s="33" t="s">
        <v>15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NJJ</v>
      </c>
    </row>
    <row r="74" spans="1:36" ht="12.75" customHeight="1">
      <c r="A74" s="6">
        <v>6.11</v>
      </c>
      <c r="B74" s="32" t="s">
        <v>32</v>
      </c>
      <c r="C74" s="33" t="s">
        <v>15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NJJ</v>
      </c>
    </row>
    <row r="75" spans="1:36" ht="12.75" customHeight="1">
      <c r="A75" s="6">
        <v>6.12</v>
      </c>
      <c r="B75" s="32" t="s">
        <v>32</v>
      </c>
      <c r="C75" s="33" t="s">
        <v>15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NJJ</v>
      </c>
    </row>
    <row r="76" spans="1:36" ht="12.75" customHeight="1">
      <c r="A76" s="6">
        <v>6.13</v>
      </c>
      <c r="B76" s="32" t="s">
        <v>32</v>
      </c>
      <c r="C76" s="33" t="s">
        <v>15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NJJ</v>
      </c>
    </row>
    <row r="77" spans="1:36" ht="12.75" customHeight="1">
      <c r="A77" s="6">
        <v>6.14</v>
      </c>
      <c r="B77" s="33"/>
      <c r="C77" s="33" t="s">
        <v>43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NJJ</v>
      </c>
    </row>
    <row r="78" spans="1:36" ht="12.75" customHeight="1">
      <c r="A78" s="6">
        <v>6.15</v>
      </c>
      <c r="B78" s="33"/>
      <c r="C78" s="33" t="s">
        <v>43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NJJ</v>
      </c>
    </row>
    <row r="79" spans="1:36" ht="12.75" customHeight="1">
      <c r="A79" s="6">
        <v>6.16</v>
      </c>
      <c r="B79" s="33"/>
      <c r="C79" s="33" t="s">
        <v>43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NJJ</v>
      </c>
    </row>
    <row r="80" spans="1:36" ht="12.75" customHeight="1">
      <c r="A80" s="6">
        <v>6.17</v>
      </c>
      <c r="B80" s="33"/>
      <c r="C80" s="33" t="s">
        <v>43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NJJ</v>
      </c>
    </row>
    <row r="81" spans="1:36" ht="12.75" customHeight="1">
      <c r="A81" s="6">
        <v>6.18</v>
      </c>
      <c r="B81" s="33" t="s">
        <v>32</v>
      </c>
      <c r="C81" s="33" t="s">
        <v>33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NJJ</v>
      </c>
    </row>
    <row r="82" spans="1:36" ht="12.75" customHeight="1">
      <c r="A82" s="6">
        <v>6.19</v>
      </c>
      <c r="B82" s="33" t="s">
        <v>32</v>
      </c>
      <c r="C82" s="33" t="s">
        <v>33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NJJ</v>
      </c>
    </row>
    <row r="83" spans="1:36" ht="12.75" customHeight="1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 customHeight="1">
      <c r="A84" s="6">
        <v>6.21</v>
      </c>
      <c r="B84" s="33" t="s">
        <v>32</v>
      </c>
      <c r="C84" s="33" t="s">
        <v>33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NJJ</v>
      </c>
    </row>
    <row r="85" spans="1:36" ht="12.75" customHeight="1">
      <c r="A85" s="6">
        <v>6.22</v>
      </c>
      <c r="B85" s="33" t="s">
        <v>32</v>
      </c>
      <c r="C85" s="33" t="s">
        <v>33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NJJ</v>
      </c>
    </row>
    <row r="86" spans="1:36" ht="12.75" customHeight="1">
      <c r="A86" s="6">
        <v>6.23</v>
      </c>
      <c r="B86" s="33"/>
      <c r="C86" s="33" t="s">
        <v>51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NJJ</v>
      </c>
    </row>
    <row r="87" spans="1:36" ht="12.75" customHeight="1">
      <c r="A87" s="6">
        <v>6.24</v>
      </c>
      <c r="B87" s="33"/>
      <c r="C87" s="33" t="s">
        <v>51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NJJ</v>
      </c>
    </row>
    <row r="88" spans="1:36" ht="12.75" customHeight="1">
      <c r="A88" s="6">
        <v>6.25</v>
      </c>
      <c r="B88" s="33"/>
      <c r="C88" s="33" t="s">
        <v>51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NJJ</v>
      </c>
    </row>
    <row r="89" spans="1:36" ht="12.75" customHeight="1">
      <c r="A89" s="6">
        <v>6.26</v>
      </c>
      <c r="B89" s="33"/>
      <c r="C89" s="33" t="s">
        <v>51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NJJ</v>
      </c>
    </row>
    <row r="90" spans="1:36" ht="12.75" customHeight="1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2.75" customHeight="1">
      <c r="A91" s="6">
        <v>6.28</v>
      </c>
      <c r="B91" s="36"/>
      <c r="C91" s="36" t="s">
        <v>49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NJJ</v>
      </c>
    </row>
    <row r="92" spans="1:36" ht="12.75" customHeight="1">
      <c r="A92" s="6">
        <v>6.29</v>
      </c>
      <c r="B92" s="36"/>
      <c r="C92" s="36" t="s">
        <v>49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NJJ</v>
      </c>
    </row>
    <row r="93" spans="1:36" ht="12.75" customHeight="1">
      <c r="A93" s="6">
        <v>6.3</v>
      </c>
      <c r="B93" s="36"/>
      <c r="C93" s="36" t="s">
        <v>49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NJJ</v>
      </c>
    </row>
    <row r="94" spans="1:36" ht="12.75" customHeight="1">
      <c r="A94" s="6">
        <v>7.01</v>
      </c>
      <c r="B94" s="33"/>
      <c r="C94" s="33" t="s">
        <v>14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NJJ</v>
      </c>
    </row>
    <row r="95" spans="1:36" ht="12.75" customHeight="1">
      <c r="A95" s="6">
        <v>7.02</v>
      </c>
      <c r="B95" s="33"/>
      <c r="C95" s="33" t="s">
        <v>14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NJJ</v>
      </c>
    </row>
    <row r="96" spans="1:36" ht="12.75" customHeight="1">
      <c r="A96" s="6">
        <v>7.03</v>
      </c>
      <c r="B96" s="33"/>
      <c r="C96" s="33" t="s">
        <v>14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NJJ</v>
      </c>
    </row>
    <row r="97" spans="1:36" ht="12.75" customHeight="1">
      <c r="A97" s="6">
        <v>7.04</v>
      </c>
      <c r="B97" s="33" t="s">
        <v>32</v>
      </c>
      <c r="C97" s="33" t="s">
        <v>55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NJJ</v>
      </c>
    </row>
    <row r="98" spans="1:36" ht="12.75" customHeight="1">
      <c r="A98" s="6">
        <v>7.05</v>
      </c>
      <c r="B98" s="33" t="s">
        <v>32</v>
      </c>
      <c r="C98" s="33" t="s">
        <v>55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NJJ</v>
      </c>
    </row>
    <row r="99" spans="1:36" ht="12.75" customHeight="1">
      <c r="A99" s="6">
        <v>7.06</v>
      </c>
      <c r="B99" s="33" t="s">
        <v>32</v>
      </c>
      <c r="C99" s="33" t="s">
        <v>55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NJJ</v>
      </c>
    </row>
    <row r="100" spans="1:36" ht="12.75" customHeight="1">
      <c r="A100" s="6">
        <v>7.07</v>
      </c>
      <c r="B100" s="33"/>
      <c r="C100" s="33" t="s">
        <v>17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NJJ</v>
      </c>
    </row>
    <row r="101" spans="1:36" ht="12.75" customHeight="1">
      <c r="A101" s="6">
        <v>7.08</v>
      </c>
      <c r="B101" s="33"/>
      <c r="C101" s="33" t="s">
        <v>17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NJJ</v>
      </c>
    </row>
    <row r="102" spans="1:36" ht="12.75" customHeight="1">
      <c r="A102" s="6">
        <v>7.09</v>
      </c>
      <c r="B102" s="33"/>
      <c r="C102" s="33" t="s">
        <v>17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NJJ</v>
      </c>
    </row>
    <row r="103" spans="1:36" ht="12.75" customHeight="1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 customHeight="1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 customHeight="1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 customHeight="1">
      <c r="A106" s="6">
        <v>7.13</v>
      </c>
      <c r="B106" s="33" t="s">
        <v>32</v>
      </c>
      <c r="C106" s="33" t="s">
        <v>41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NJJ</v>
      </c>
    </row>
    <row r="107" spans="1:36" ht="12.75" customHeight="1">
      <c r="A107" s="6">
        <v>7.14</v>
      </c>
      <c r="B107" s="33" t="s">
        <v>32</v>
      </c>
      <c r="C107" s="33" t="s">
        <v>41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NJJ</v>
      </c>
    </row>
    <row r="108" spans="1:36" ht="12.75" customHeight="1">
      <c r="A108" s="6">
        <v>7.15</v>
      </c>
      <c r="B108" s="33" t="s">
        <v>32</v>
      </c>
      <c r="C108" s="33" t="s">
        <v>41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NJJ</v>
      </c>
    </row>
    <row r="109" spans="1:36" ht="12.75" customHeight="1">
      <c r="A109" s="6">
        <v>7.16</v>
      </c>
      <c r="B109" s="33"/>
      <c r="C109" s="33" t="s">
        <v>48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NJJ</v>
      </c>
    </row>
    <row r="110" spans="1:36" ht="12.75" customHeight="1">
      <c r="A110" s="6">
        <v>7.17</v>
      </c>
      <c r="B110" s="33"/>
      <c r="C110" s="33" t="s">
        <v>48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NJJ</v>
      </c>
    </row>
    <row r="111" spans="1:36" ht="12.75" customHeight="1">
      <c r="A111" s="6">
        <v>7.18</v>
      </c>
      <c r="B111" s="33"/>
      <c r="C111" s="33" t="s">
        <v>48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NJJ</v>
      </c>
    </row>
    <row r="112" spans="1:36" ht="12.75" customHeight="1">
      <c r="A112" s="6">
        <v>7.19</v>
      </c>
      <c r="B112" s="32" t="s">
        <v>32</v>
      </c>
      <c r="C112" s="33" t="s">
        <v>56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NJJ</v>
      </c>
    </row>
    <row r="113" spans="1:36" ht="12.75" customHeight="1">
      <c r="A113" s="6">
        <v>7.2</v>
      </c>
      <c r="B113" s="32" t="s">
        <v>32</v>
      </c>
      <c r="C113" s="33" t="s">
        <v>56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NJJ</v>
      </c>
    </row>
    <row r="114" spans="1:36" ht="12.75" customHeight="1">
      <c r="A114" s="6">
        <v>7.21</v>
      </c>
      <c r="B114" s="32" t="s">
        <v>32</v>
      </c>
      <c r="C114" s="33" t="s">
        <v>56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NJJ</v>
      </c>
    </row>
    <row r="115" spans="1:36" ht="12.75" customHeight="1">
      <c r="A115" s="6">
        <v>7.22</v>
      </c>
      <c r="B115" s="32" t="s">
        <v>32</v>
      </c>
      <c r="C115" s="33" t="s">
        <v>56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NJJ</v>
      </c>
    </row>
    <row r="116" spans="1:36" ht="12.75" customHeight="1">
      <c r="A116" s="6">
        <v>7.23</v>
      </c>
      <c r="B116" s="32" t="s">
        <v>32</v>
      </c>
      <c r="C116" s="33" t="s">
        <v>47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NJJ</v>
      </c>
    </row>
    <row r="117" spans="1:36" ht="12.75" customHeight="1">
      <c r="A117" s="6">
        <v>7.24</v>
      </c>
      <c r="B117" s="32" t="s">
        <v>32</v>
      </c>
      <c r="C117" s="33" t="s">
        <v>47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NJJ</v>
      </c>
    </row>
    <row r="118" spans="1:36" ht="12.75" customHeight="1">
      <c r="A118" s="6">
        <v>7.25</v>
      </c>
      <c r="B118" s="32" t="s">
        <v>32</v>
      </c>
      <c r="C118" s="33" t="s">
        <v>47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NJJ</v>
      </c>
    </row>
    <row r="119" spans="1:36" ht="12.75" customHeight="1">
      <c r="A119" s="6">
        <v>7.26</v>
      </c>
      <c r="B119" s="32" t="s">
        <v>32</v>
      </c>
      <c r="C119" s="33" t="s">
        <v>47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NJJ</v>
      </c>
    </row>
    <row r="120" spans="1:36" ht="12.75" customHeight="1">
      <c r="A120" s="6">
        <v>7.27</v>
      </c>
      <c r="B120" s="33"/>
      <c r="C120" s="36" t="s">
        <v>53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NJJ</v>
      </c>
    </row>
    <row r="121" spans="1:36" ht="12.75" customHeight="1">
      <c r="A121" s="6">
        <v>7.28</v>
      </c>
      <c r="B121" s="33"/>
      <c r="C121" s="36" t="s">
        <v>53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NJJ</v>
      </c>
    </row>
    <row r="122" spans="1:36" ht="12.75" customHeight="1">
      <c r="A122" s="6">
        <v>7.29</v>
      </c>
      <c r="B122" s="33"/>
      <c r="C122" s="36" t="s">
        <v>53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NJJ</v>
      </c>
    </row>
    <row r="123" spans="1:36" ht="12.75" customHeight="1">
      <c r="A123" s="6">
        <v>7.3</v>
      </c>
      <c r="B123" s="33"/>
      <c r="C123" s="36" t="s">
        <v>53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NJJ</v>
      </c>
    </row>
    <row r="124" spans="1:36" ht="12.75" customHeight="1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 customHeight="1">
      <c r="A125" s="6">
        <v>8.01</v>
      </c>
      <c r="B125" s="33"/>
      <c r="C125" s="33" t="s">
        <v>35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NJJ</v>
      </c>
    </row>
    <row r="126" spans="1:36" ht="12.75" customHeight="1">
      <c r="A126" s="6">
        <v>8.02</v>
      </c>
      <c r="B126" s="33"/>
      <c r="C126" s="33" t="s">
        <v>35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NJJ</v>
      </c>
    </row>
    <row r="127" spans="1:36" ht="12.75" customHeight="1">
      <c r="A127" s="6">
        <v>8.0299999999999994</v>
      </c>
      <c r="B127" s="33"/>
      <c r="C127" s="33" t="s">
        <v>35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NJJ</v>
      </c>
    </row>
    <row r="128" spans="1:36" ht="12.75" customHeight="1">
      <c r="A128" s="6">
        <v>8.0399999999999991</v>
      </c>
      <c r="B128" s="33"/>
      <c r="C128" s="33" t="s">
        <v>35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NJJ</v>
      </c>
    </row>
    <row r="129" spans="1:36" ht="12.75" customHeight="1">
      <c r="A129" s="6">
        <v>8.0500000000000007</v>
      </c>
      <c r="B129" s="32" t="s">
        <v>32</v>
      </c>
      <c r="C129" s="33" t="s">
        <v>14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NJJ</v>
      </c>
    </row>
    <row r="130" spans="1:36" ht="12.75" customHeight="1">
      <c r="A130" s="6">
        <v>8.06</v>
      </c>
      <c r="B130" s="32" t="s">
        <v>32</v>
      </c>
      <c r="C130" s="33" t="s">
        <v>14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NJJ</v>
      </c>
    </row>
    <row r="131" spans="1:36" ht="12.75" customHeight="1">
      <c r="A131" s="6">
        <v>8.07</v>
      </c>
      <c r="B131" s="32" t="s">
        <v>32</v>
      </c>
      <c r="C131" s="33" t="s">
        <v>14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NJJ</v>
      </c>
    </row>
    <row r="132" spans="1:36" ht="12.75" customHeight="1">
      <c r="A132" s="6">
        <v>8.08</v>
      </c>
      <c r="B132" s="32" t="s">
        <v>32</v>
      </c>
      <c r="C132" s="33" t="s">
        <v>14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NJJ</v>
      </c>
    </row>
    <row r="133" spans="1:36" ht="12.75" customHeight="1">
      <c r="A133" s="6">
        <v>8.09</v>
      </c>
      <c r="B133" s="33" t="s">
        <v>32</v>
      </c>
      <c r="C133" s="33" t="s">
        <v>48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NJJ</v>
      </c>
    </row>
    <row r="134" spans="1:36" ht="12.75" customHeight="1">
      <c r="A134" s="6">
        <v>8.1</v>
      </c>
      <c r="B134" s="33" t="s">
        <v>32</v>
      </c>
      <c r="C134" s="33" t="s">
        <v>48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NJJ</v>
      </c>
    </row>
    <row r="135" spans="1:36" ht="12.75" customHeight="1">
      <c r="A135" s="6">
        <v>8.11</v>
      </c>
      <c r="B135" s="33" t="s">
        <v>32</v>
      </c>
      <c r="C135" s="33" t="s">
        <v>48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NJJ</v>
      </c>
    </row>
    <row r="136" spans="1:36" ht="12.75" customHeight="1">
      <c r="A136" s="6">
        <v>8.1199999999999992</v>
      </c>
      <c r="B136" s="33" t="s">
        <v>32</v>
      </c>
      <c r="C136" s="33" t="s">
        <v>48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NJJ</v>
      </c>
    </row>
    <row r="137" spans="1:36" ht="12.75" customHeight="1">
      <c r="A137" s="6">
        <v>8.1300000000000008</v>
      </c>
      <c r="B137" s="33" t="s">
        <v>32</v>
      </c>
      <c r="C137" s="33" t="s">
        <v>49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NJJ</v>
      </c>
    </row>
    <row r="138" spans="1:36" ht="12.75" customHeight="1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 customHeight="1">
      <c r="A139" s="6">
        <v>8.15</v>
      </c>
      <c r="B139" s="33" t="s">
        <v>32</v>
      </c>
      <c r="C139" s="33" t="s">
        <v>49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NJJ</v>
      </c>
    </row>
    <row r="140" spans="1:36" ht="12.75" customHeight="1">
      <c r="A140" s="6">
        <v>8.16</v>
      </c>
      <c r="B140" s="33" t="s">
        <v>32</v>
      </c>
      <c r="C140" s="33" t="s">
        <v>49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NJJ</v>
      </c>
    </row>
    <row r="141" spans="1:36" ht="12.75" customHeight="1">
      <c r="A141" s="6">
        <v>8.17</v>
      </c>
      <c r="B141" s="33" t="s">
        <v>32</v>
      </c>
      <c r="C141" s="33" t="s">
        <v>49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NJJ</v>
      </c>
    </row>
    <row r="142" spans="1:36" ht="12.75" customHeight="1">
      <c r="A142" s="6">
        <v>8.18</v>
      </c>
      <c r="B142" s="33"/>
      <c r="C142" s="33" t="s">
        <v>1191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NJJ</v>
      </c>
    </row>
    <row r="143" spans="1:36" ht="12.75" customHeight="1">
      <c r="A143" s="6">
        <v>8.19</v>
      </c>
      <c r="B143" s="33"/>
      <c r="C143" s="33" t="s">
        <v>1191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NJJ</v>
      </c>
    </row>
    <row r="144" spans="1:36" ht="12.75" customHeight="1">
      <c r="A144" s="6">
        <v>8.1999999999999993</v>
      </c>
      <c r="B144" s="33"/>
      <c r="C144" s="33" t="s">
        <v>1191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NJJ</v>
      </c>
    </row>
    <row r="145" spans="1:36" ht="12.75" customHeight="1">
      <c r="A145" s="6">
        <v>8.2100000000000009</v>
      </c>
      <c r="B145" s="33"/>
      <c r="C145" s="33" t="s">
        <v>41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NJJ</v>
      </c>
    </row>
    <row r="146" spans="1:36" ht="12.75" customHeight="1">
      <c r="A146" s="6">
        <v>8.2200000000000006</v>
      </c>
      <c r="B146" s="33"/>
      <c r="C146" s="33" t="s">
        <v>41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NJJ</v>
      </c>
    </row>
    <row r="147" spans="1:36" ht="12.75" customHeight="1">
      <c r="A147" s="6">
        <v>8.23</v>
      </c>
      <c r="B147" s="33"/>
      <c r="C147" s="33" t="s">
        <v>41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NJJ</v>
      </c>
    </row>
    <row r="148" spans="1:36" ht="12.75" customHeight="1">
      <c r="A148" s="6">
        <v>8.24</v>
      </c>
      <c r="B148" s="33"/>
      <c r="C148" s="33" t="s">
        <v>41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NJJ</v>
      </c>
    </row>
    <row r="149" spans="1:36" ht="12.75" customHeight="1">
      <c r="A149" s="6">
        <v>8.25</v>
      </c>
      <c r="B149" s="34"/>
      <c r="C149" s="33" t="s">
        <v>55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NJJ</v>
      </c>
    </row>
    <row r="150" spans="1:36" ht="12.75" customHeight="1">
      <c r="A150" s="6">
        <v>8.26</v>
      </c>
      <c r="B150" s="34"/>
      <c r="C150" s="33" t="s">
        <v>55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NJJ</v>
      </c>
    </row>
    <row r="151" spans="1:36" ht="12.75" customHeight="1">
      <c r="A151" s="6">
        <v>8.27</v>
      </c>
      <c r="B151" s="34"/>
      <c r="C151" s="33" t="s">
        <v>55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NJJ</v>
      </c>
    </row>
    <row r="152" spans="1:36" ht="12.75" customHeight="1">
      <c r="A152" s="6">
        <v>8.2799999999999994</v>
      </c>
      <c r="B152" s="33"/>
      <c r="C152" s="33" t="s">
        <v>55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NJJ</v>
      </c>
    </row>
    <row r="153" spans="1:36" ht="12.75" customHeight="1">
      <c r="A153" s="6">
        <v>8.2899999999999991</v>
      </c>
      <c r="B153" s="33" t="s">
        <v>32</v>
      </c>
      <c r="C153" s="33" t="s">
        <v>46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NJJ</v>
      </c>
    </row>
    <row r="154" spans="1:36" ht="12.75" customHeight="1">
      <c r="A154" s="6">
        <v>8.3000000000000007</v>
      </c>
      <c r="B154" s="33" t="s">
        <v>32</v>
      </c>
      <c r="C154" s="33" t="s">
        <v>46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NJJ</v>
      </c>
    </row>
    <row r="155" spans="1:36" ht="12.75" customHeight="1">
      <c r="A155" s="6">
        <v>8.31</v>
      </c>
      <c r="B155" s="33" t="s">
        <v>32</v>
      </c>
      <c r="C155" s="33" t="s">
        <v>46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NJJ</v>
      </c>
    </row>
    <row r="156" spans="1:36" ht="12.75" customHeight="1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 customHeight="1">
      <c r="A157" s="6">
        <v>9.02</v>
      </c>
      <c r="B157" s="33"/>
      <c r="C157" s="33" t="s">
        <v>1919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NJJ</v>
      </c>
    </row>
    <row r="158" spans="1:36" ht="12.75" customHeight="1">
      <c r="A158" s="6">
        <v>9.0299999999999994</v>
      </c>
      <c r="B158" s="33"/>
      <c r="C158" s="33" t="s">
        <v>1919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NJJ</v>
      </c>
    </row>
    <row r="159" spans="1:36" ht="12.75" customHeight="1">
      <c r="A159" s="6">
        <v>9.0399999999999991</v>
      </c>
      <c r="B159" s="33"/>
      <c r="C159" s="33" t="s">
        <v>1919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NJJ</v>
      </c>
    </row>
    <row r="160" spans="1:36" ht="12.75" customHeight="1">
      <c r="A160" s="6">
        <v>9.0500000000000007</v>
      </c>
      <c r="B160" s="33" t="s">
        <v>32</v>
      </c>
      <c r="C160" s="33" t="s">
        <v>45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NJJ</v>
      </c>
    </row>
    <row r="161" spans="1:36" ht="12.75" customHeight="1">
      <c r="A161" s="6">
        <v>9.06</v>
      </c>
      <c r="B161" s="33" t="s">
        <v>32</v>
      </c>
      <c r="C161" s="33" t="s">
        <v>45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NJJ</v>
      </c>
    </row>
    <row r="162" spans="1:36" ht="12.75" customHeight="1">
      <c r="A162" s="6">
        <v>9.07</v>
      </c>
      <c r="B162" s="33" t="s">
        <v>32</v>
      </c>
      <c r="C162" s="33" t="s">
        <v>45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NJJ</v>
      </c>
    </row>
    <row r="163" spans="1:36" ht="12.75" customHeight="1">
      <c r="A163" s="6">
        <v>9.08</v>
      </c>
      <c r="B163" s="33" t="s">
        <v>32</v>
      </c>
      <c r="C163" s="33" t="s">
        <v>34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NJJ</v>
      </c>
    </row>
    <row r="164" spans="1:36" ht="12.75" customHeight="1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 customHeight="1">
      <c r="A165" s="6">
        <v>9.1</v>
      </c>
      <c r="B165" s="33" t="s">
        <v>32</v>
      </c>
      <c r="C165" s="33" t="s">
        <v>34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NJJ</v>
      </c>
    </row>
    <row r="166" spans="1:36" ht="12.75" customHeight="1">
      <c r="A166" s="6">
        <v>9.11</v>
      </c>
      <c r="B166" s="33" t="s">
        <v>32</v>
      </c>
      <c r="C166" s="33" t="s">
        <v>34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NJJ</v>
      </c>
    </row>
    <row r="167" spans="1:36" ht="12.75" customHeight="1">
      <c r="A167" s="6">
        <v>9.1199999999999992</v>
      </c>
      <c r="B167" s="33" t="s">
        <v>32</v>
      </c>
      <c r="C167" s="33" t="s">
        <v>13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NJJ</v>
      </c>
    </row>
    <row r="168" spans="1:36" ht="12.75" customHeight="1">
      <c r="A168" s="6">
        <v>9.1300000000000008</v>
      </c>
      <c r="B168" s="33" t="s">
        <v>32</v>
      </c>
      <c r="C168" s="33" t="s">
        <v>13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NJJ</v>
      </c>
    </row>
    <row r="169" spans="1:36" ht="12.75" customHeight="1">
      <c r="A169" s="6">
        <v>9.14</v>
      </c>
      <c r="B169" s="33" t="s">
        <v>32</v>
      </c>
      <c r="C169" s="33" t="s">
        <v>13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NJJ</v>
      </c>
    </row>
    <row r="170" spans="1:36" ht="12.75" customHeight="1">
      <c r="A170" s="6">
        <v>9.15</v>
      </c>
      <c r="B170" s="33" t="s">
        <v>32</v>
      </c>
      <c r="C170" s="33" t="s">
        <v>13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NJJ</v>
      </c>
    </row>
    <row r="171" spans="1:36" ht="12.75" customHeight="1">
      <c r="A171" s="6">
        <v>9.16</v>
      </c>
      <c r="B171" s="32" t="s">
        <v>32</v>
      </c>
      <c r="C171" s="33" t="s">
        <v>35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NJJ</v>
      </c>
    </row>
    <row r="172" spans="1:36" ht="12.75" customHeight="1">
      <c r="A172" s="6">
        <v>9.17</v>
      </c>
      <c r="B172" s="32" t="s">
        <v>32</v>
      </c>
      <c r="C172" s="33" t="s">
        <v>35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NJJ</v>
      </c>
    </row>
    <row r="173" spans="1:36" ht="12.75" customHeight="1">
      <c r="A173" s="6">
        <v>9.18</v>
      </c>
      <c r="B173" s="32" t="s">
        <v>32</v>
      </c>
      <c r="C173" s="33" t="s">
        <v>35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NJJ</v>
      </c>
    </row>
    <row r="174" spans="1:36" ht="12.75" customHeight="1">
      <c r="A174" s="6">
        <v>9.19</v>
      </c>
      <c r="B174" s="33" t="s">
        <v>32</v>
      </c>
      <c r="C174" s="33" t="s">
        <v>17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NJJ</v>
      </c>
    </row>
    <row r="175" spans="1:36" ht="12.75" customHeight="1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 customHeight="1">
      <c r="A176" s="6">
        <v>9.2100000000000009</v>
      </c>
      <c r="B176" s="33" t="s">
        <v>32</v>
      </c>
      <c r="C176" s="33" t="s">
        <v>17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NJJ</v>
      </c>
    </row>
    <row r="177" spans="1:36" ht="12.75" customHeight="1">
      <c r="A177" s="6">
        <v>9.2200000000000006</v>
      </c>
      <c r="B177" s="33" t="s">
        <v>32</v>
      </c>
      <c r="C177" s="33" t="s">
        <v>17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NJJ</v>
      </c>
    </row>
    <row r="178" spans="1:36" ht="12.75" customHeight="1">
      <c r="A178" s="6">
        <v>9.23</v>
      </c>
      <c r="B178" s="33" t="s">
        <v>32</v>
      </c>
      <c r="C178" s="33" t="s">
        <v>17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NJJ</v>
      </c>
    </row>
    <row r="179" spans="1:36" ht="12.75" customHeight="1">
      <c r="A179" s="6">
        <v>9.24</v>
      </c>
      <c r="B179" s="33" t="s">
        <v>32</v>
      </c>
      <c r="C179" s="33" t="s">
        <v>16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NJJ</v>
      </c>
    </row>
    <row r="180" spans="1:36" ht="12.75" customHeight="1">
      <c r="A180" s="6">
        <v>9.25</v>
      </c>
      <c r="B180" s="33" t="s">
        <v>32</v>
      </c>
      <c r="C180" s="33" t="s">
        <v>16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NJJ</v>
      </c>
    </row>
    <row r="181" spans="1:36" ht="12.75" customHeight="1">
      <c r="A181" s="6">
        <v>9.26</v>
      </c>
      <c r="B181" s="33" t="s">
        <v>32</v>
      </c>
      <c r="C181" s="33" t="s">
        <v>16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NJJ</v>
      </c>
    </row>
    <row r="182" spans="1:36" ht="12.75" customHeight="1">
      <c r="A182" s="6">
        <v>9.27</v>
      </c>
      <c r="B182" s="33" t="s">
        <v>32</v>
      </c>
      <c r="C182" s="33" t="s">
        <v>51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NJJ</v>
      </c>
    </row>
    <row r="183" spans="1:36" ht="12.75" customHeight="1">
      <c r="A183" s="6">
        <v>9.2799999999999994</v>
      </c>
      <c r="B183" s="33" t="s">
        <v>32</v>
      </c>
      <c r="C183" s="33" t="s">
        <v>51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NJJ</v>
      </c>
    </row>
    <row r="184" spans="1:36" ht="12.75" customHeight="1">
      <c r="A184" s="6">
        <v>9.2899999999999991</v>
      </c>
      <c r="B184" s="33" t="s">
        <v>32</v>
      </c>
      <c r="C184" s="33" t="s">
        <v>51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NJJ</v>
      </c>
    </row>
    <row r="185" spans="1:36" ht="12.75" customHeight="1">
      <c r="A185" s="6">
        <v>9.3000000000000007</v>
      </c>
      <c r="B185" s="33" t="s">
        <v>32</v>
      </c>
      <c r="C185" s="33" t="s">
        <v>51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NJJ</v>
      </c>
    </row>
    <row r="186" spans="1:36">
      <c r="A186" s="6"/>
      <c r="B186" s="6"/>
      <c r="D186" s="4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4:36"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4:36">
      <c r="K194" s="2"/>
      <c r="AJ194" s="2"/>
    </row>
    <row r="195" spans="4:36">
      <c r="K195" s="2"/>
      <c r="AJ195" s="2"/>
    </row>
    <row r="196" spans="4:36">
      <c r="K196" s="2"/>
      <c r="AJ196" s="2"/>
    </row>
    <row r="197" spans="4:36">
      <c r="K197" s="2"/>
      <c r="AJ197" s="2"/>
    </row>
    <row r="198" spans="4:36">
      <c r="K198" s="2"/>
      <c r="AJ198" s="2"/>
    </row>
    <row r="199" spans="4:36">
      <c r="K199" s="2"/>
      <c r="AJ199" s="2"/>
    </row>
    <row r="200" spans="4:36">
      <c r="K200" s="2"/>
      <c r="AJ200" s="2"/>
    </row>
    <row r="201" spans="4:36">
      <c r="K201" s="2"/>
      <c r="AJ201" s="2"/>
    </row>
    <row r="202" spans="4:36">
      <c r="K202" s="2"/>
      <c r="AJ202" s="2"/>
    </row>
    <row r="203" spans="4:36">
      <c r="K203" s="2"/>
      <c r="AJ203" s="2"/>
    </row>
    <row r="204" spans="4:36">
      <c r="AJ204" s="2"/>
    </row>
    <row r="205" spans="4:36">
      <c r="AJ205" s="2"/>
    </row>
    <row r="206" spans="4:36">
      <c r="AJ206" s="2"/>
    </row>
    <row r="207" spans="4:36">
      <c r="AJ207" s="2"/>
    </row>
    <row r="208" spans="4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3097" priority="2365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96" priority="2366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3095" priority="2367" stopIfTrue="1" operator="equal">
      <formula>"input a different starter in column C"</formula>
    </cfRule>
  </conditionalFormatting>
  <conditionalFormatting sqref="AK23">
    <cfRule type="cellIs" dxfId="3094" priority="2369" stopIfTrue="1" operator="equal">
      <formula>"must have 162 starts"</formula>
    </cfRule>
  </conditionalFormatting>
  <conditionalFormatting sqref="AG3:AG22">
    <cfRule type="cellIs" dxfId="3093" priority="2090" stopIfTrue="1" operator="equal">
      <formula>"must average at least 5 innings per start"</formula>
    </cfRule>
  </conditionalFormatting>
  <conditionalFormatting sqref="AG23">
    <cfRule type="cellIs" dxfId="3092" priority="2089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91" priority="208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90" priority="208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89" priority="208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88" priority="2085" stopIfTrue="1" operator="equal">
      <formula>"input starter in column C"</formula>
    </cfRule>
  </conditionalFormatting>
  <conditionalFormatting sqref="P3">
    <cfRule type="cellIs" dxfId="3087" priority="2084" stopIfTrue="1" operator="equal">
      <formula>"input starter in column D"</formula>
    </cfRule>
  </conditionalFormatting>
  <conditionalFormatting sqref="P4">
    <cfRule type="cellIs" dxfId="3086" priority="2083" stopIfTrue="1" operator="equal">
      <formula>"input starter in column D"</formula>
    </cfRule>
  </conditionalFormatting>
  <conditionalFormatting sqref="P5">
    <cfRule type="cellIs" dxfId="3085" priority="2082" stopIfTrue="1" operator="equal">
      <formula>"INPUT STARTER IN COLUMN D"</formula>
    </cfRule>
  </conditionalFormatting>
  <conditionalFormatting sqref="P6">
    <cfRule type="cellIs" dxfId="3084" priority="2081" stopIfTrue="1" operator="equal">
      <formula>"INPUT STARTER IN COLUMN D"</formula>
    </cfRule>
  </conditionalFormatting>
  <conditionalFormatting sqref="P8">
    <cfRule type="cellIs" dxfId="3083" priority="2080" stopIfTrue="1" operator="equal">
      <formula>"INPUT STARTER IN COLUMN D"</formula>
    </cfRule>
  </conditionalFormatting>
  <conditionalFormatting sqref="P9">
    <cfRule type="cellIs" dxfId="3082" priority="2079" stopIfTrue="1" operator="equal">
      <formula>"INPUT STARTER IN COLUMN D"</formula>
    </cfRule>
  </conditionalFormatting>
  <conditionalFormatting sqref="P10">
    <cfRule type="cellIs" dxfId="3081" priority="2078" stopIfTrue="1" operator="equal">
      <formula>"INPUT STARTER IN COLUMN D"</formula>
    </cfRule>
  </conditionalFormatting>
  <conditionalFormatting sqref="P11">
    <cfRule type="cellIs" dxfId="3080" priority="2077" stopIfTrue="1" operator="equal">
      <formula>"INPUT STARTER IN COLUMN D"</formula>
    </cfRule>
  </conditionalFormatting>
  <conditionalFormatting sqref="P13">
    <cfRule type="cellIs" dxfId="3079" priority="2076" stopIfTrue="1" operator="equal">
      <formula>"INPUT STARTER IN COLUMN D"</formula>
    </cfRule>
  </conditionalFormatting>
  <conditionalFormatting sqref="P14">
    <cfRule type="cellIs" dxfId="3078" priority="2075" stopIfTrue="1" operator="equal">
      <formula>"INPUT STARTER IN COLUMN D"</formula>
    </cfRule>
  </conditionalFormatting>
  <conditionalFormatting sqref="P15">
    <cfRule type="cellIs" dxfId="3077" priority="2074" stopIfTrue="1" operator="equal">
      <formula>"INPUT STARTER IN COLUMN D"</formula>
    </cfRule>
  </conditionalFormatting>
  <conditionalFormatting sqref="P16">
    <cfRule type="cellIs" dxfId="3076" priority="2073" stopIfTrue="1" operator="equal">
      <formula>"INPUT STARTER IN COLUMN D"</formula>
    </cfRule>
  </conditionalFormatting>
  <conditionalFormatting sqref="P18">
    <cfRule type="cellIs" dxfId="3075" priority="2072" stopIfTrue="1" operator="equal">
      <formula>"INPUT STARTER IN COLUMN D"</formula>
    </cfRule>
  </conditionalFormatting>
  <conditionalFormatting sqref="P19">
    <cfRule type="cellIs" dxfId="3074" priority="2071" stopIfTrue="1" operator="equal">
      <formula>"INPUT STARTER IN COLUMN D"</formula>
    </cfRule>
  </conditionalFormatting>
  <conditionalFormatting sqref="P20">
    <cfRule type="cellIs" dxfId="3073" priority="2070" stopIfTrue="1" operator="equal">
      <formula>"INPUT STARTER IN COLUMN D"</formula>
    </cfRule>
  </conditionalFormatting>
  <conditionalFormatting sqref="P21">
    <cfRule type="cellIs" dxfId="3072" priority="2069" stopIfTrue="1" operator="equal">
      <formula>"INPUT STARTER IN COLUMN D"</formula>
    </cfRule>
  </conditionalFormatting>
  <conditionalFormatting sqref="P23">
    <cfRule type="cellIs" dxfId="3071" priority="2068" stopIfTrue="1" operator="equal">
      <formula>"INPUT STARTER IN COLUMN D"</formula>
    </cfRule>
  </conditionalFormatting>
  <conditionalFormatting sqref="P24">
    <cfRule type="cellIs" dxfId="3070" priority="2067" stopIfTrue="1" operator="equal">
      <formula>"INPUT STARTER IN COLUMN D"</formula>
    </cfRule>
  </conditionalFormatting>
  <conditionalFormatting sqref="P25">
    <cfRule type="cellIs" dxfId="3069" priority="2066" stopIfTrue="1" operator="equal">
      <formula>"INPUT STARTER IN COLUMN D"</formula>
    </cfRule>
  </conditionalFormatting>
  <conditionalFormatting sqref="P26">
    <cfRule type="cellIs" dxfId="3068" priority="2065" stopIfTrue="1" operator="equal">
      <formula>"INPUT STARTER IN COLUMN D"</formula>
    </cfRule>
  </conditionalFormatting>
  <conditionalFormatting sqref="P28">
    <cfRule type="cellIs" dxfId="3067" priority="2064" stopIfTrue="1" operator="equal">
      <formula>"INPUT STARTER IN COLUMN D"</formula>
    </cfRule>
  </conditionalFormatting>
  <conditionalFormatting sqref="P29">
    <cfRule type="cellIs" dxfId="3066" priority="2063" stopIfTrue="1" operator="equal">
      <formula>"INPUT STARTER IN COLUMN D"</formula>
    </cfRule>
  </conditionalFormatting>
  <conditionalFormatting sqref="P30">
    <cfRule type="cellIs" dxfId="3065" priority="2062" stopIfTrue="1" operator="equal">
      <formula>"INPUT STARTER IN COLUMN D"</formula>
    </cfRule>
  </conditionalFormatting>
  <conditionalFormatting sqref="P31">
    <cfRule type="cellIs" dxfId="3064" priority="2061" stopIfTrue="1" operator="equal">
      <formula>"INPUT STARTER IN COLUMN D"</formula>
    </cfRule>
  </conditionalFormatting>
  <conditionalFormatting sqref="P33">
    <cfRule type="cellIs" dxfId="3063" priority="2060" stopIfTrue="1" operator="equal">
      <formula>"INPUT STARTER IN COLUMN D"</formula>
    </cfRule>
  </conditionalFormatting>
  <conditionalFormatting sqref="P34">
    <cfRule type="cellIs" dxfId="3062" priority="2059" stopIfTrue="1" operator="equal">
      <formula>"INPUT STARTER IN COLUMN D"</formula>
    </cfRule>
  </conditionalFormatting>
  <conditionalFormatting sqref="P35">
    <cfRule type="cellIs" dxfId="3061" priority="2058" stopIfTrue="1" operator="equal">
      <formula>"INPUT STARTER IN COLUMN D"</formula>
    </cfRule>
  </conditionalFormatting>
  <conditionalFormatting sqref="P36">
    <cfRule type="cellIs" dxfId="3060" priority="2057" stopIfTrue="1" operator="equal">
      <formula>"INPUT STARTER IN COLUMN D"</formula>
    </cfRule>
  </conditionalFormatting>
  <conditionalFormatting sqref="P37">
    <cfRule type="cellIs" dxfId="3059" priority="2056" stopIfTrue="1" operator="equal">
      <formula>"INPUT STARTER IN COLUMN D"</formula>
    </cfRule>
  </conditionalFormatting>
  <conditionalFormatting sqref="P38">
    <cfRule type="cellIs" dxfId="3058" priority="2055" stopIfTrue="1" operator="equal">
      <formula>"INPUT STARTER IN COLUMN D"</formula>
    </cfRule>
  </conditionalFormatting>
  <conditionalFormatting sqref="P39">
    <cfRule type="cellIs" dxfId="3057" priority="2054" stopIfTrue="1" operator="equal">
      <formula>"INPUT STARTER IN COLUMN D"</formula>
    </cfRule>
  </conditionalFormatting>
  <conditionalFormatting sqref="P40">
    <cfRule type="cellIs" dxfId="3056" priority="2053" stopIfTrue="1" operator="equal">
      <formula>"INPUT STARTER IN COLUMN D"</formula>
    </cfRule>
  </conditionalFormatting>
  <conditionalFormatting sqref="P42">
    <cfRule type="cellIs" dxfId="3055" priority="2052" stopIfTrue="1" operator="equal">
      <formula>"INPUT STARTER IN COLUMN D"</formula>
    </cfRule>
  </conditionalFormatting>
  <conditionalFormatting sqref="P43">
    <cfRule type="cellIs" dxfId="3054" priority="2051" stopIfTrue="1" operator="equal">
      <formula>"INPUT STARTER IN COLUMN D"</formula>
    </cfRule>
  </conditionalFormatting>
  <conditionalFormatting sqref="P44">
    <cfRule type="cellIs" dxfId="3053" priority="2050" stopIfTrue="1" operator="equal">
      <formula>"INPUT STARTER IN COLUMN D"</formula>
    </cfRule>
  </conditionalFormatting>
  <conditionalFormatting sqref="P45">
    <cfRule type="cellIs" dxfId="3052" priority="2049" stopIfTrue="1" operator="equal">
      <formula>"INPUT STARTER IN COLUMN D"</formula>
    </cfRule>
  </conditionalFormatting>
  <conditionalFormatting sqref="P46">
    <cfRule type="cellIs" dxfId="3051" priority="2048" stopIfTrue="1" operator="equal">
      <formula>"INPUT STARTER IN COLUMN D"</formula>
    </cfRule>
  </conditionalFormatting>
  <conditionalFormatting sqref="P47">
    <cfRule type="cellIs" dxfId="3050" priority="2047" stopIfTrue="1" operator="equal">
      <formula>"INPUT STARTER IN COLUMN D"</formula>
    </cfRule>
  </conditionalFormatting>
  <conditionalFormatting sqref="P49">
    <cfRule type="cellIs" dxfId="3049" priority="2046" stopIfTrue="1" operator="equal">
      <formula>"INPUT STARTER IN COLUMN D"</formula>
    </cfRule>
  </conditionalFormatting>
  <conditionalFormatting sqref="P50">
    <cfRule type="cellIs" dxfId="3048" priority="2045" stopIfTrue="1" operator="equal">
      <formula>"INPUT STARTER IN COLUMN D"</formula>
    </cfRule>
  </conditionalFormatting>
  <conditionalFormatting sqref="P51">
    <cfRule type="cellIs" dxfId="3047" priority="2044" stopIfTrue="1" operator="equal">
      <formula>"INPUT STARTER IN COLUMN D"</formula>
    </cfRule>
  </conditionalFormatting>
  <conditionalFormatting sqref="P52">
    <cfRule type="cellIs" dxfId="3046" priority="2043" stopIfTrue="1" operator="equal">
      <formula>"INPUT STARTER IN COLUMN D"</formula>
    </cfRule>
  </conditionalFormatting>
  <conditionalFormatting sqref="P53">
    <cfRule type="cellIs" dxfId="3045" priority="2042" stopIfTrue="1" operator="equal">
      <formula>"INPUT STARTER IN COLUMN D"</formula>
    </cfRule>
  </conditionalFormatting>
  <conditionalFormatting sqref="P54">
    <cfRule type="cellIs" dxfId="3044" priority="2041" stopIfTrue="1" operator="equal">
      <formula>"INPUT STARTER IN COLUMN D"</formula>
    </cfRule>
  </conditionalFormatting>
  <conditionalFormatting sqref="P56">
    <cfRule type="cellIs" dxfId="3043" priority="2040" stopIfTrue="1" operator="equal">
      <formula>"INPUT STARTER IN COLUMN D"</formula>
    </cfRule>
  </conditionalFormatting>
  <conditionalFormatting sqref="P57">
    <cfRule type="cellIs" dxfId="3042" priority="2039" stopIfTrue="1" operator="equal">
      <formula>"INPUT STARTER IN COLUMN D"</formula>
    </cfRule>
  </conditionalFormatting>
  <conditionalFormatting sqref="P58">
    <cfRule type="cellIs" dxfId="3041" priority="2038" stopIfTrue="1" operator="equal">
      <formula>"INPUT STARTER IN COLUMN D"</formula>
    </cfRule>
  </conditionalFormatting>
  <conditionalFormatting sqref="P59">
    <cfRule type="cellIs" dxfId="3040" priority="2037" stopIfTrue="1" operator="equal">
      <formula>"INPUT STARTER IN COLUMN D"</formula>
    </cfRule>
  </conditionalFormatting>
  <conditionalFormatting sqref="P60">
    <cfRule type="cellIs" dxfId="3039" priority="2036" stopIfTrue="1" operator="equal">
      <formula>"INPUT STARTER IN COLUMN D"</formula>
    </cfRule>
  </conditionalFormatting>
  <conditionalFormatting sqref="P61">
    <cfRule type="cellIs" dxfId="3038" priority="2035" stopIfTrue="1" operator="equal">
      <formula>"INPUT STARTER IN COLUMN D"</formula>
    </cfRule>
  </conditionalFormatting>
  <conditionalFormatting sqref="P63">
    <cfRule type="cellIs" dxfId="3037" priority="2034" stopIfTrue="1" operator="equal">
      <formula>"INPUT STARTER IN COLUMN D"</formula>
    </cfRule>
  </conditionalFormatting>
  <conditionalFormatting sqref="P64">
    <cfRule type="cellIs" dxfId="3036" priority="2033" stopIfTrue="1" operator="equal">
      <formula>"INPUT STARTER IN COLUMN D"</formula>
    </cfRule>
  </conditionalFormatting>
  <conditionalFormatting sqref="P65">
    <cfRule type="cellIs" dxfId="3035" priority="2032" stopIfTrue="1" operator="equal">
      <formula>"INPUT STARTER IN COLUMN D"</formula>
    </cfRule>
  </conditionalFormatting>
  <conditionalFormatting sqref="P66">
    <cfRule type="cellIs" dxfId="3034" priority="2031" stopIfTrue="1" operator="equal">
      <formula>"INPUT STARTER IN COLUMN D"</formula>
    </cfRule>
  </conditionalFormatting>
  <conditionalFormatting sqref="P67">
    <cfRule type="cellIs" dxfId="3033" priority="2030" stopIfTrue="1" operator="equal">
      <formula>"INPUT STARTER IN COLUMN D"</formula>
    </cfRule>
  </conditionalFormatting>
  <conditionalFormatting sqref="P68">
    <cfRule type="cellIs" dxfId="3032" priority="2029" stopIfTrue="1" operator="equal">
      <formula>"INPUT STARTER IN COLUMN D"</formula>
    </cfRule>
  </conditionalFormatting>
  <conditionalFormatting sqref="P69">
    <cfRule type="cellIs" dxfId="3031" priority="2028" stopIfTrue="1" operator="equal">
      <formula>"INPUT STARTER IN COLUMN D"</formula>
    </cfRule>
  </conditionalFormatting>
  <conditionalFormatting sqref="P71">
    <cfRule type="cellIs" dxfId="3030" priority="2027" stopIfTrue="1" operator="equal">
      <formula>"INPUT STARTER IN COLUMN D"</formula>
    </cfRule>
  </conditionalFormatting>
  <conditionalFormatting sqref="P72">
    <cfRule type="cellIs" dxfId="3029" priority="2026" stopIfTrue="1" operator="equal">
      <formula>"INPUT STARTER IN COLUMN D"</formula>
    </cfRule>
  </conditionalFormatting>
  <conditionalFormatting sqref="P73">
    <cfRule type="cellIs" dxfId="3028" priority="2025" stopIfTrue="1" operator="equal">
      <formula>"INPUT STARTER IN COLUMN D"</formula>
    </cfRule>
  </conditionalFormatting>
  <conditionalFormatting sqref="P74">
    <cfRule type="cellIs" dxfId="3027" priority="2024" stopIfTrue="1" operator="equal">
      <formula>"INPUT STARTER IN COLUMN D"</formula>
    </cfRule>
  </conditionalFormatting>
  <conditionalFormatting sqref="P75">
    <cfRule type="cellIs" dxfId="3026" priority="2023" stopIfTrue="1" operator="equal">
      <formula>"INPUT STARTER IN COLUMN D"</formula>
    </cfRule>
  </conditionalFormatting>
  <conditionalFormatting sqref="P76">
    <cfRule type="cellIs" dxfId="3025" priority="2022" stopIfTrue="1" operator="equal">
      <formula>"INPUT STARTER IN COLUMN D"</formula>
    </cfRule>
  </conditionalFormatting>
  <conditionalFormatting sqref="P77">
    <cfRule type="cellIs" dxfId="3024" priority="2021" stopIfTrue="1" operator="equal">
      <formula>"INPUT STARTER IN COLUMN D"</formula>
    </cfRule>
  </conditionalFormatting>
  <conditionalFormatting sqref="P78">
    <cfRule type="cellIs" dxfId="3023" priority="2020" stopIfTrue="1" operator="equal">
      <formula>"INPUT STARTER IN COLUMN D"</formula>
    </cfRule>
  </conditionalFormatting>
  <conditionalFormatting sqref="P79">
    <cfRule type="cellIs" dxfId="3022" priority="2019" stopIfTrue="1" operator="equal">
      <formula>"INPUT STARTER IN COLUMN D"</formula>
    </cfRule>
  </conditionalFormatting>
  <conditionalFormatting sqref="P80">
    <cfRule type="cellIs" dxfId="3021" priority="2018" stopIfTrue="1" operator="equal">
      <formula>"INPUT STARTER IN COLUMN D"</formula>
    </cfRule>
  </conditionalFormatting>
  <conditionalFormatting sqref="P81">
    <cfRule type="cellIs" dxfId="3020" priority="2017" stopIfTrue="1" operator="equal">
      <formula>"INPUT STARTER IN COLUMN D"</formula>
    </cfRule>
  </conditionalFormatting>
  <conditionalFormatting sqref="P82">
    <cfRule type="cellIs" dxfId="3019" priority="2016" stopIfTrue="1" operator="equal">
      <formula>"INPUT STARTER IN COLUMN D"</formula>
    </cfRule>
  </conditionalFormatting>
  <conditionalFormatting sqref="P84">
    <cfRule type="cellIs" dxfId="3018" priority="2015" stopIfTrue="1" operator="equal">
      <formula>"INPUT STARTER IN COLUMN D"</formula>
    </cfRule>
  </conditionalFormatting>
  <conditionalFormatting sqref="P85">
    <cfRule type="cellIs" dxfId="3017" priority="2014" stopIfTrue="1" operator="equal">
      <formula>"INPUT STARTER IN COLUMN D"</formula>
    </cfRule>
  </conditionalFormatting>
  <conditionalFormatting sqref="P86">
    <cfRule type="cellIs" dxfId="3016" priority="2013" stopIfTrue="1" operator="equal">
      <formula>"INPUT STARTER IN COLUMN D"</formula>
    </cfRule>
  </conditionalFormatting>
  <conditionalFormatting sqref="P87">
    <cfRule type="cellIs" dxfId="3015" priority="2012" stopIfTrue="1" operator="equal">
      <formula>"INPUT STARTER IN COLUMN D"</formula>
    </cfRule>
  </conditionalFormatting>
  <conditionalFormatting sqref="P88">
    <cfRule type="cellIs" dxfId="3014" priority="2011" stopIfTrue="1" operator="equal">
      <formula>"INPUT STARTER IN COLUMN D"</formula>
    </cfRule>
  </conditionalFormatting>
  <conditionalFormatting sqref="P89">
    <cfRule type="cellIs" dxfId="3013" priority="2010" stopIfTrue="1" operator="equal">
      <formula>"INPUT STARTER IN COLUMN D"</formula>
    </cfRule>
  </conditionalFormatting>
  <conditionalFormatting sqref="P91">
    <cfRule type="cellIs" dxfId="3012" priority="2009" stopIfTrue="1" operator="equal">
      <formula>"INPUT STARTER IN COLUMN D"</formula>
    </cfRule>
  </conditionalFormatting>
  <conditionalFormatting sqref="P92">
    <cfRule type="cellIs" dxfId="3011" priority="2008" stopIfTrue="1" operator="equal">
      <formula>"INPUT STARTER IN COLUMN D"</formula>
    </cfRule>
  </conditionalFormatting>
  <conditionalFormatting sqref="P93">
    <cfRule type="cellIs" dxfId="3010" priority="2007" stopIfTrue="1" operator="equal">
      <formula>"INPUT STARTER IN COLUMN D"</formula>
    </cfRule>
  </conditionalFormatting>
  <conditionalFormatting sqref="P94">
    <cfRule type="cellIs" dxfId="3009" priority="2006" stopIfTrue="1" operator="equal">
      <formula>"INPUT STARTER IN COLUMN D"</formula>
    </cfRule>
  </conditionalFormatting>
  <conditionalFormatting sqref="P95">
    <cfRule type="cellIs" dxfId="3008" priority="2005" stopIfTrue="1" operator="equal">
      <formula>"INPUT STARTER IN COLUMN D"</formula>
    </cfRule>
  </conditionalFormatting>
  <conditionalFormatting sqref="P96">
    <cfRule type="cellIs" dxfId="3007" priority="2004" stopIfTrue="1" operator="equal">
      <formula>"INPUT STARTER IN COLUMN D"</formula>
    </cfRule>
  </conditionalFormatting>
  <conditionalFormatting sqref="P97">
    <cfRule type="cellIs" dxfId="3006" priority="2003" stopIfTrue="1" operator="equal">
      <formula>"INPUT STARTER IN COLUMN D"</formula>
    </cfRule>
  </conditionalFormatting>
  <conditionalFormatting sqref="P98">
    <cfRule type="cellIs" dxfId="3005" priority="2002" stopIfTrue="1" operator="equal">
      <formula>"INPUT STARTER IN COLUMN D"</formula>
    </cfRule>
  </conditionalFormatting>
  <conditionalFormatting sqref="P99">
    <cfRule type="cellIs" dxfId="3004" priority="2001" stopIfTrue="1" operator="equal">
      <formula>"INPUT STARTER IN COLUMN D"</formula>
    </cfRule>
  </conditionalFormatting>
  <conditionalFormatting sqref="P100">
    <cfRule type="cellIs" dxfId="3003" priority="2000" stopIfTrue="1" operator="equal">
      <formula>"INPUT STARTER IN COLUMN D"</formula>
    </cfRule>
  </conditionalFormatting>
  <conditionalFormatting sqref="P101">
    <cfRule type="cellIs" dxfId="3002" priority="1999" stopIfTrue="1" operator="equal">
      <formula>"INPUT STARTER IN COLUMN D"</formula>
    </cfRule>
  </conditionalFormatting>
  <conditionalFormatting sqref="P102">
    <cfRule type="cellIs" dxfId="3001" priority="1998" stopIfTrue="1" operator="equal">
      <formula>"INPUT STARTER IN COLUMN D"</formula>
    </cfRule>
  </conditionalFormatting>
  <conditionalFormatting sqref="P106">
    <cfRule type="cellIs" dxfId="3000" priority="1997" stopIfTrue="1" operator="equal">
      <formula>"INPUT STARTER IN COLUMN D"</formula>
    </cfRule>
  </conditionalFormatting>
  <conditionalFormatting sqref="P107">
    <cfRule type="cellIs" dxfId="2999" priority="1996" stopIfTrue="1" operator="equal">
      <formula>"INPUT STARTER IN COLUMN D"</formula>
    </cfRule>
  </conditionalFormatting>
  <conditionalFormatting sqref="P108">
    <cfRule type="cellIs" dxfId="2998" priority="1995" stopIfTrue="1" operator="equal">
      <formula>"INPUT STARTER IN COLUMN D"</formula>
    </cfRule>
  </conditionalFormatting>
  <conditionalFormatting sqref="P109">
    <cfRule type="cellIs" dxfId="2997" priority="1994" stopIfTrue="1" operator="equal">
      <formula>"INPUT STARTER IN COLUMN D"</formula>
    </cfRule>
  </conditionalFormatting>
  <conditionalFormatting sqref="P110">
    <cfRule type="cellIs" dxfId="2996" priority="1993" stopIfTrue="1" operator="equal">
      <formula>"INPUT STARTER IN COLUMN D"</formula>
    </cfRule>
  </conditionalFormatting>
  <conditionalFormatting sqref="P111">
    <cfRule type="cellIs" dxfId="2995" priority="1992" stopIfTrue="1" operator="equal">
      <formula>"INPUT STARTER IN COLUMN D"</formula>
    </cfRule>
  </conditionalFormatting>
  <conditionalFormatting sqref="P112">
    <cfRule type="cellIs" dxfId="2994" priority="1991" stopIfTrue="1" operator="equal">
      <formula>"INPUT STARTER IN COLUMN D"</formula>
    </cfRule>
  </conditionalFormatting>
  <conditionalFormatting sqref="P113">
    <cfRule type="cellIs" dxfId="2993" priority="1990" stopIfTrue="1" operator="equal">
      <formula>"INPUT STARTER IN COLUMN D"</formula>
    </cfRule>
  </conditionalFormatting>
  <conditionalFormatting sqref="P114">
    <cfRule type="cellIs" dxfId="2992" priority="1989" stopIfTrue="1" operator="equal">
      <formula>"INPUT STARTER IN COLUMN D"</formula>
    </cfRule>
  </conditionalFormatting>
  <conditionalFormatting sqref="P115">
    <cfRule type="cellIs" dxfId="2991" priority="1988" stopIfTrue="1" operator="equal">
      <formula>"INPUT STARTER IN COLUMN D"</formula>
    </cfRule>
  </conditionalFormatting>
  <conditionalFormatting sqref="P116">
    <cfRule type="cellIs" dxfId="2990" priority="1987" stopIfTrue="1" operator="equal">
      <formula>"INPUT STARTER IN COLUMN D"</formula>
    </cfRule>
  </conditionalFormatting>
  <conditionalFormatting sqref="P117">
    <cfRule type="cellIs" dxfId="2989" priority="1986" stopIfTrue="1" operator="equal">
      <formula>"INPUT STARTER IN COLUMN D"</formula>
    </cfRule>
  </conditionalFormatting>
  <conditionalFormatting sqref="P118">
    <cfRule type="cellIs" dxfId="2988" priority="1985" stopIfTrue="1" operator="equal">
      <formula>"INPUT STARTER IN COLUMN D"</formula>
    </cfRule>
  </conditionalFormatting>
  <conditionalFormatting sqref="P119">
    <cfRule type="cellIs" dxfId="2987" priority="1984" stopIfTrue="1" operator="equal">
      <formula>"INPUT STARTER IN COLUMN D"</formula>
    </cfRule>
  </conditionalFormatting>
  <conditionalFormatting sqref="P120">
    <cfRule type="cellIs" dxfId="2986" priority="1983" stopIfTrue="1" operator="equal">
      <formula>"INPUT STARTER IN COLUMN D"</formula>
    </cfRule>
  </conditionalFormatting>
  <conditionalFormatting sqref="P121">
    <cfRule type="cellIs" dxfId="2985" priority="1982" stopIfTrue="1" operator="equal">
      <formula>"INPUT STARTER IN COLUMN D"</formula>
    </cfRule>
  </conditionalFormatting>
  <conditionalFormatting sqref="P122">
    <cfRule type="cellIs" dxfId="2984" priority="1981" stopIfTrue="1" operator="equal">
      <formula>"INPUT STARTER IN COLUMN D"</formula>
    </cfRule>
  </conditionalFormatting>
  <conditionalFormatting sqref="P123">
    <cfRule type="cellIs" dxfId="2983" priority="1980" stopIfTrue="1" operator="equal">
      <formula>"INPUT STARTER IN COLUMN D"</formula>
    </cfRule>
  </conditionalFormatting>
  <conditionalFormatting sqref="P125">
    <cfRule type="cellIs" dxfId="2982" priority="1979" stopIfTrue="1" operator="equal">
      <formula>"INPUT STARTER IN COLUMN D"</formula>
    </cfRule>
  </conditionalFormatting>
  <conditionalFormatting sqref="P126">
    <cfRule type="cellIs" dxfId="2981" priority="1978" stopIfTrue="1" operator="equal">
      <formula>"INPUT STARTER IN COLUMN D"</formula>
    </cfRule>
  </conditionalFormatting>
  <conditionalFormatting sqref="P127">
    <cfRule type="cellIs" dxfId="2980" priority="1977" stopIfTrue="1" operator="equal">
      <formula>"INPUT STARTER IN COLUMN D"</formula>
    </cfRule>
  </conditionalFormatting>
  <conditionalFormatting sqref="P128">
    <cfRule type="cellIs" dxfId="2979" priority="1976" stopIfTrue="1" operator="equal">
      <formula>"INPUT STARTER IN COLUMN D"</formula>
    </cfRule>
  </conditionalFormatting>
  <conditionalFormatting sqref="P129">
    <cfRule type="cellIs" dxfId="2978" priority="1975" stopIfTrue="1" operator="equal">
      <formula>"INPUT STARTER IN COLUMN D"</formula>
    </cfRule>
  </conditionalFormatting>
  <conditionalFormatting sqref="P130">
    <cfRule type="cellIs" dxfId="2977" priority="1974" stopIfTrue="1" operator="equal">
      <formula>"INPUT STARTER IN COLUMN D"</formula>
    </cfRule>
  </conditionalFormatting>
  <conditionalFormatting sqref="P131">
    <cfRule type="cellIs" dxfId="2976" priority="1973" stopIfTrue="1" operator="equal">
      <formula>"INPUT STARTER IN COLUMN D"</formula>
    </cfRule>
  </conditionalFormatting>
  <conditionalFormatting sqref="P132">
    <cfRule type="cellIs" dxfId="2975" priority="1972" stopIfTrue="1" operator="equal">
      <formula>"INPUT STARTER IN COLUMN D"</formula>
    </cfRule>
  </conditionalFormatting>
  <conditionalFormatting sqref="P133">
    <cfRule type="cellIs" dxfId="2974" priority="1971" stopIfTrue="1" operator="equal">
      <formula>"INPUT STARTER IN COLUMN D"</formula>
    </cfRule>
  </conditionalFormatting>
  <conditionalFormatting sqref="P134">
    <cfRule type="cellIs" dxfId="2973" priority="1970" stopIfTrue="1" operator="equal">
      <formula>"INPUT STARTER IN COLUMN D"</formula>
    </cfRule>
  </conditionalFormatting>
  <conditionalFormatting sqref="P135">
    <cfRule type="cellIs" dxfId="2972" priority="1969" stopIfTrue="1" operator="equal">
      <formula>"INPUT STARTER IN COLUMN D"</formula>
    </cfRule>
  </conditionalFormatting>
  <conditionalFormatting sqref="P136">
    <cfRule type="cellIs" dxfId="2971" priority="1968" stopIfTrue="1" operator="equal">
      <formula>"INPUT STARTER IN COLUMN D"</formula>
    </cfRule>
  </conditionalFormatting>
  <conditionalFormatting sqref="P137">
    <cfRule type="cellIs" dxfId="2970" priority="1967" stopIfTrue="1" operator="equal">
      <formula>"INPUT STARTER IN COLUMN D"</formula>
    </cfRule>
  </conditionalFormatting>
  <conditionalFormatting sqref="P139">
    <cfRule type="cellIs" dxfId="2969" priority="1966" stopIfTrue="1" operator="equal">
      <formula>"INPUT STARTER IN COLUMN D"</formula>
    </cfRule>
  </conditionalFormatting>
  <conditionalFormatting sqref="P140">
    <cfRule type="cellIs" dxfId="2968" priority="1965" stopIfTrue="1" operator="equal">
      <formula>"INPUT STARTER IN COLUMN D"</formula>
    </cfRule>
  </conditionalFormatting>
  <conditionalFormatting sqref="P141">
    <cfRule type="cellIs" dxfId="2967" priority="1964" stopIfTrue="1" operator="equal">
      <formula>"INPUT STARTER IN COLUMN D"</formula>
    </cfRule>
  </conditionalFormatting>
  <conditionalFormatting sqref="P142">
    <cfRule type="cellIs" dxfId="2966" priority="1963" stopIfTrue="1" operator="equal">
      <formula>"INPUT STARTER IN COLUMN D"</formula>
    </cfRule>
  </conditionalFormatting>
  <conditionalFormatting sqref="P143">
    <cfRule type="cellIs" dxfId="2965" priority="1962" stopIfTrue="1" operator="equal">
      <formula>"INPUT STARTER IN COLUMN D"</formula>
    </cfRule>
  </conditionalFormatting>
  <conditionalFormatting sqref="P144">
    <cfRule type="cellIs" dxfId="2964" priority="1961" stopIfTrue="1" operator="equal">
      <formula>"INPUT STARTER IN COLUMN D"</formula>
    </cfRule>
  </conditionalFormatting>
  <conditionalFormatting sqref="P145">
    <cfRule type="cellIs" dxfId="2963" priority="1960" stopIfTrue="1" operator="equal">
      <formula>"INPUT STARTER IN COLUMN D"</formula>
    </cfRule>
  </conditionalFormatting>
  <conditionalFormatting sqref="P146">
    <cfRule type="cellIs" dxfId="2962" priority="1959" stopIfTrue="1" operator="equal">
      <formula>"INPUT STARTER IN COLUMN D"</formula>
    </cfRule>
  </conditionalFormatting>
  <conditionalFormatting sqref="P147">
    <cfRule type="cellIs" dxfId="2961" priority="1958" stopIfTrue="1" operator="equal">
      <formula>"INPUT STARTER IN COLUMN D"</formula>
    </cfRule>
  </conditionalFormatting>
  <conditionalFormatting sqref="P148">
    <cfRule type="cellIs" dxfId="2960" priority="1957" stopIfTrue="1" operator="equal">
      <formula>"INPUT STARTER IN COLUMN D"</formula>
    </cfRule>
  </conditionalFormatting>
  <conditionalFormatting sqref="P149">
    <cfRule type="cellIs" dxfId="2959" priority="1956" stopIfTrue="1" operator="equal">
      <formula>"INPUT STARTER IN COLUMN D"</formula>
    </cfRule>
  </conditionalFormatting>
  <conditionalFormatting sqref="P150">
    <cfRule type="cellIs" dxfId="2958" priority="1955" stopIfTrue="1" operator="equal">
      <formula>"INPUT STARTER IN COLUMN D"</formula>
    </cfRule>
  </conditionalFormatting>
  <conditionalFormatting sqref="P151">
    <cfRule type="cellIs" dxfId="2957" priority="1954" stopIfTrue="1" operator="equal">
      <formula>"INPUT STARTER IN COLUMN D"</formula>
    </cfRule>
  </conditionalFormatting>
  <conditionalFormatting sqref="P152">
    <cfRule type="cellIs" dxfId="2956" priority="1953" stopIfTrue="1" operator="equal">
      <formula>"INPUT STARTER IN COLUMN D"</formula>
    </cfRule>
  </conditionalFormatting>
  <conditionalFormatting sqref="P153">
    <cfRule type="cellIs" dxfId="2955" priority="1952" stopIfTrue="1" operator="equal">
      <formula>"INPUT STARTER IN COLUMN D"</formula>
    </cfRule>
  </conditionalFormatting>
  <conditionalFormatting sqref="P154">
    <cfRule type="cellIs" dxfId="2954" priority="1951" stopIfTrue="1" operator="equal">
      <formula>"INPUT STARTER IN COLUMN D"</formula>
    </cfRule>
  </conditionalFormatting>
  <conditionalFormatting sqref="P155">
    <cfRule type="cellIs" dxfId="2953" priority="1950" stopIfTrue="1" operator="equal">
      <formula>"INPUT STARTER IN COLUMN D"</formula>
    </cfRule>
  </conditionalFormatting>
  <conditionalFormatting sqref="P157">
    <cfRule type="cellIs" dxfId="2952" priority="1949" stopIfTrue="1" operator="equal">
      <formula>"INPUT STARTER IN COLUMN D"</formula>
    </cfRule>
  </conditionalFormatting>
  <conditionalFormatting sqref="P158">
    <cfRule type="cellIs" dxfId="2951" priority="1948" stopIfTrue="1" operator="equal">
      <formula>"INPUT STARTER IN COLUMN D"</formula>
    </cfRule>
  </conditionalFormatting>
  <conditionalFormatting sqref="P159">
    <cfRule type="cellIs" dxfId="2950" priority="1947" stopIfTrue="1" operator="equal">
      <formula>"INPUT STARTER IN COLUMN D"</formula>
    </cfRule>
  </conditionalFormatting>
  <conditionalFormatting sqref="P160">
    <cfRule type="cellIs" dxfId="2949" priority="1946" stopIfTrue="1" operator="equal">
      <formula>"INPUT STARTER IN COLUMN D"</formula>
    </cfRule>
  </conditionalFormatting>
  <conditionalFormatting sqref="P161">
    <cfRule type="cellIs" dxfId="2948" priority="1945" stopIfTrue="1" operator="equal">
      <formula>"INPUT STARTER IN COLUMN D"</formula>
    </cfRule>
  </conditionalFormatting>
  <conditionalFormatting sqref="P162">
    <cfRule type="cellIs" dxfId="2947" priority="1944" stopIfTrue="1" operator="equal">
      <formula>"INPUT STARTER IN COLUMN D"</formula>
    </cfRule>
  </conditionalFormatting>
  <conditionalFormatting sqref="P163">
    <cfRule type="cellIs" dxfId="2946" priority="1943" stopIfTrue="1" operator="equal">
      <formula>"INPUT STARTER IN COLUMN D"</formula>
    </cfRule>
  </conditionalFormatting>
  <conditionalFormatting sqref="P165">
    <cfRule type="cellIs" dxfId="2945" priority="1942" stopIfTrue="1" operator="equal">
      <formula>"INPUT STARTER IN COLUMN D"</formula>
    </cfRule>
  </conditionalFormatting>
  <conditionalFormatting sqref="P166">
    <cfRule type="cellIs" dxfId="2944" priority="1941" stopIfTrue="1" operator="equal">
      <formula>"INPUT STARTER IN COLUMN D"</formula>
    </cfRule>
  </conditionalFormatting>
  <conditionalFormatting sqref="P167">
    <cfRule type="cellIs" dxfId="2943" priority="1940" stopIfTrue="1" operator="equal">
      <formula>"INPUT STARTER IN COLUMN D"</formula>
    </cfRule>
  </conditionalFormatting>
  <conditionalFormatting sqref="P168">
    <cfRule type="cellIs" dxfId="2942" priority="1939" stopIfTrue="1" operator="equal">
      <formula>"INPUT STARTER IN COLUMN D"</formula>
    </cfRule>
  </conditionalFormatting>
  <conditionalFormatting sqref="P169">
    <cfRule type="cellIs" dxfId="2941" priority="1938" stopIfTrue="1" operator="equal">
      <formula>"INPUT STARTER IN COLUMN D"</formula>
    </cfRule>
  </conditionalFormatting>
  <conditionalFormatting sqref="P170">
    <cfRule type="cellIs" dxfId="2940" priority="1937" stopIfTrue="1" operator="equal">
      <formula>"INPUT STARTER IN COLUMN D"</formula>
    </cfRule>
  </conditionalFormatting>
  <conditionalFormatting sqref="P171">
    <cfRule type="cellIs" dxfId="2939" priority="1936" stopIfTrue="1" operator="equal">
      <formula>"INPUT STARTER IN COLUMN D"</formula>
    </cfRule>
  </conditionalFormatting>
  <conditionalFormatting sqref="P172">
    <cfRule type="cellIs" dxfId="2938" priority="1935" stopIfTrue="1" operator="equal">
      <formula>"INPUT STARTER IN COLUMN D"</formula>
    </cfRule>
  </conditionalFormatting>
  <conditionalFormatting sqref="P173">
    <cfRule type="cellIs" dxfId="2937" priority="1934" stopIfTrue="1" operator="equal">
      <formula>"INPUT STARTER IN COLUMN D"</formula>
    </cfRule>
  </conditionalFormatting>
  <conditionalFormatting sqref="P174">
    <cfRule type="cellIs" dxfId="2936" priority="1933" stopIfTrue="1" operator="equal">
      <formula>"INPUT STARTER IN COLUMN D"</formula>
    </cfRule>
  </conditionalFormatting>
  <conditionalFormatting sqref="P176">
    <cfRule type="cellIs" dxfId="2935" priority="1932" stopIfTrue="1" operator="equal">
      <formula>"INPUT STARTER IN COLUMN D"</formula>
    </cfRule>
  </conditionalFormatting>
  <conditionalFormatting sqref="P177">
    <cfRule type="cellIs" dxfId="2934" priority="1931" stopIfTrue="1" operator="equal">
      <formula>"INPUT STARTER IN COLUMN D"</formula>
    </cfRule>
  </conditionalFormatting>
  <conditionalFormatting sqref="P178">
    <cfRule type="cellIs" dxfId="2933" priority="1930" stopIfTrue="1" operator="equal">
      <formula>"INPUT STARTER IN COLUMN D"</formula>
    </cfRule>
  </conditionalFormatting>
  <conditionalFormatting sqref="P179">
    <cfRule type="cellIs" dxfId="2932" priority="1929" stopIfTrue="1" operator="equal">
      <formula>"INPUT STARTER IN COLUMN D"</formula>
    </cfRule>
  </conditionalFormatting>
  <conditionalFormatting sqref="P180">
    <cfRule type="cellIs" dxfId="2931" priority="1928" stopIfTrue="1" operator="equal">
      <formula>"INPUT STARTER IN COLUMN D"</formula>
    </cfRule>
  </conditionalFormatting>
  <conditionalFormatting sqref="P181">
    <cfRule type="cellIs" dxfId="2930" priority="1927" stopIfTrue="1" operator="equal">
      <formula>"INPUT STARTER IN COLUMN D"</formula>
    </cfRule>
  </conditionalFormatting>
  <conditionalFormatting sqref="P182">
    <cfRule type="cellIs" dxfId="2929" priority="1926" stopIfTrue="1" operator="equal">
      <formula>"INPUT STARTER IN COLUMN D"</formula>
    </cfRule>
  </conditionalFormatting>
  <conditionalFormatting sqref="P183">
    <cfRule type="cellIs" dxfId="2928" priority="1925" stopIfTrue="1" operator="equal">
      <formula>"INPUT STARTER IN COLUMN D"</formula>
    </cfRule>
  </conditionalFormatting>
  <conditionalFormatting sqref="P184">
    <cfRule type="cellIs" dxfId="2927" priority="1924" stopIfTrue="1" operator="equal">
      <formula>"INPUT STARTER IN COLUMN D"</formula>
    </cfRule>
  </conditionalFormatting>
  <conditionalFormatting sqref="P185">
    <cfRule type="cellIs" dxfId="2926" priority="1923" stopIfTrue="1" operator="equal">
      <formula>"INPUT STARTER IN COLUMN D"</formula>
    </cfRule>
  </conditionalFormatting>
  <conditionalFormatting sqref="AK3:AK22">
    <cfRule type="cellIs" dxfId="2925" priority="1922" stopIfTrue="1" operator="equal">
      <formula>"must average at least 5 innings per start"</formula>
    </cfRule>
  </conditionalFormatting>
  <conditionalFormatting sqref="AK23">
    <cfRule type="cellIs" dxfId="2924" priority="1921" stopIfTrue="1" operator="equal">
      <formula>"must have 162 starts"</formula>
    </cfRule>
  </conditionalFormatting>
  <conditionalFormatting sqref="AK3:AK22">
    <cfRule type="cellIs" dxfId="2923" priority="1920" stopIfTrue="1" operator="equal">
      <formula>"must average at least 5 innings per start"</formula>
    </cfRule>
  </conditionalFormatting>
  <conditionalFormatting sqref="AK23">
    <cfRule type="cellIs" dxfId="2922" priority="1919" stopIfTrue="1" operator="equal">
      <formula>"must have 162 starts"</formula>
    </cfRule>
  </conditionalFormatting>
  <conditionalFormatting sqref="AK3:AK22">
    <cfRule type="cellIs" dxfId="2921" priority="1918" stopIfTrue="1" operator="equal">
      <formula>"must average at least 5 innings per start"</formula>
    </cfRule>
  </conditionalFormatting>
  <conditionalFormatting sqref="AK23">
    <cfRule type="cellIs" dxfId="2920" priority="1917" stopIfTrue="1" operator="equal">
      <formula>"must have 162 starts"</formula>
    </cfRule>
  </conditionalFormatting>
  <conditionalFormatting sqref="AK3:AK22">
    <cfRule type="cellIs" dxfId="2919" priority="1916" stopIfTrue="1" operator="equal">
      <formula>"must average at least 5 innings per start"</formula>
    </cfRule>
  </conditionalFormatting>
  <conditionalFormatting sqref="AK23">
    <cfRule type="cellIs" dxfId="2918" priority="1915" stopIfTrue="1" operator="equal">
      <formula>"must have 162 starts"</formula>
    </cfRule>
  </conditionalFormatting>
  <conditionalFormatting sqref="AK3:AK22">
    <cfRule type="cellIs" dxfId="2917" priority="1914" stopIfTrue="1" operator="equal">
      <formula>"must average at least 5 innings per start"</formula>
    </cfRule>
  </conditionalFormatting>
  <conditionalFormatting sqref="AK23">
    <cfRule type="cellIs" dxfId="2916" priority="1913" stopIfTrue="1" operator="equal">
      <formula>"must have 162 starts"</formula>
    </cfRule>
  </conditionalFormatting>
  <conditionalFormatting sqref="AK3:AK22">
    <cfRule type="cellIs" dxfId="2915" priority="1912" stopIfTrue="1" operator="equal">
      <formula>"must average at least 5 innings per start"</formula>
    </cfRule>
  </conditionalFormatting>
  <conditionalFormatting sqref="AK23">
    <cfRule type="cellIs" dxfId="2914" priority="1911" stopIfTrue="1" operator="equal">
      <formula>"must have 162 starts"</formula>
    </cfRule>
  </conditionalFormatting>
  <conditionalFormatting sqref="AG3:AG22">
    <cfRule type="cellIs" dxfId="2913" priority="1910" stopIfTrue="1" operator="equal">
      <formula>"must average at least 5 innings per start"</formula>
    </cfRule>
  </conditionalFormatting>
  <conditionalFormatting sqref="AG23">
    <cfRule type="cellIs" dxfId="2912" priority="1909" stopIfTrue="1" operator="equal">
      <formula>"must have 162 starts"</formula>
    </cfRule>
  </conditionalFormatting>
  <conditionalFormatting sqref="AK3:AK22">
    <cfRule type="cellIs" dxfId="2911" priority="1908" stopIfTrue="1" operator="equal">
      <formula>"must average at least 5 innings per start"</formula>
    </cfRule>
  </conditionalFormatting>
  <conditionalFormatting sqref="AK23">
    <cfRule type="cellIs" dxfId="2910" priority="1907" stopIfTrue="1" operator="equal">
      <formula>"must have 162 starts"</formula>
    </cfRule>
  </conditionalFormatting>
  <conditionalFormatting sqref="AK3:AK22">
    <cfRule type="cellIs" dxfId="2909" priority="1906" stopIfTrue="1" operator="equal">
      <formula>"must average at least 5 innings per start"</formula>
    </cfRule>
  </conditionalFormatting>
  <conditionalFormatting sqref="AK23">
    <cfRule type="cellIs" dxfId="2908" priority="1905" stopIfTrue="1" operator="equal">
      <formula>"must have 162 starts"</formula>
    </cfRule>
  </conditionalFormatting>
  <conditionalFormatting sqref="AK3:AK22">
    <cfRule type="cellIs" dxfId="2907" priority="1904" stopIfTrue="1" operator="equal">
      <formula>"must average at least 5 innings per start"</formula>
    </cfRule>
  </conditionalFormatting>
  <conditionalFormatting sqref="AK23">
    <cfRule type="cellIs" dxfId="2906" priority="1903" stopIfTrue="1" operator="equal">
      <formula>"must have 162 starts"</formula>
    </cfRule>
  </conditionalFormatting>
  <conditionalFormatting sqref="AK3:AK22">
    <cfRule type="cellIs" dxfId="2905" priority="1902" stopIfTrue="1" operator="equal">
      <formula>"must average at least 5 innings per start"</formula>
    </cfRule>
  </conditionalFormatting>
  <conditionalFormatting sqref="AK23">
    <cfRule type="cellIs" dxfId="2904" priority="1901" stopIfTrue="1" operator="equal">
      <formula>"must have 162 starts"</formula>
    </cfRule>
  </conditionalFormatting>
  <conditionalFormatting sqref="AK3:AK22">
    <cfRule type="cellIs" dxfId="2903" priority="1900" stopIfTrue="1" operator="equal">
      <formula>"must average at least 5 innings per start"</formula>
    </cfRule>
  </conditionalFormatting>
  <conditionalFormatting sqref="AK23">
    <cfRule type="cellIs" dxfId="2902" priority="1899" stopIfTrue="1" operator="equal">
      <formula>"must have 162 starts"</formula>
    </cfRule>
  </conditionalFormatting>
  <conditionalFormatting sqref="AG3:AG22">
    <cfRule type="cellIs" dxfId="2901" priority="1898" stopIfTrue="1" operator="equal">
      <formula>"must average at least 5 innings per start"</formula>
    </cfRule>
  </conditionalFormatting>
  <conditionalFormatting sqref="AG23">
    <cfRule type="cellIs" dxfId="2900" priority="1897" stopIfTrue="1" operator="equal">
      <formula>"must have 162 starts"</formula>
    </cfRule>
  </conditionalFormatting>
  <conditionalFormatting sqref="AK3:AK22">
    <cfRule type="cellIs" dxfId="2899" priority="1896" stopIfTrue="1" operator="equal">
      <formula>"must average at least 5 innings per start"</formula>
    </cfRule>
  </conditionalFormatting>
  <conditionalFormatting sqref="AK23">
    <cfRule type="cellIs" dxfId="2898" priority="1895" stopIfTrue="1" operator="equal">
      <formula>"must have 162 starts"</formula>
    </cfRule>
  </conditionalFormatting>
  <conditionalFormatting sqref="AK3:AK22">
    <cfRule type="cellIs" dxfId="2897" priority="1894" stopIfTrue="1" operator="equal">
      <formula>"must average at least 5 innings per start"</formula>
    </cfRule>
  </conditionalFormatting>
  <conditionalFormatting sqref="AK23">
    <cfRule type="cellIs" dxfId="2896" priority="1893" stopIfTrue="1" operator="equal">
      <formula>"must have 162 starts"</formula>
    </cfRule>
  </conditionalFormatting>
  <conditionalFormatting sqref="AK3:AK22">
    <cfRule type="cellIs" dxfId="2895" priority="1892" stopIfTrue="1" operator="equal">
      <formula>"must average at least 5 innings per start"</formula>
    </cfRule>
  </conditionalFormatting>
  <conditionalFormatting sqref="AK23">
    <cfRule type="cellIs" dxfId="2894" priority="1891" stopIfTrue="1" operator="equal">
      <formula>"must have 162 starts"</formula>
    </cfRule>
  </conditionalFormatting>
  <conditionalFormatting sqref="AK3:AK22">
    <cfRule type="cellIs" dxfId="2893" priority="1890" stopIfTrue="1" operator="equal">
      <formula>"must average at least 5 innings per start"</formula>
    </cfRule>
  </conditionalFormatting>
  <conditionalFormatting sqref="AK23">
    <cfRule type="cellIs" dxfId="2892" priority="1889" stopIfTrue="1" operator="equal">
      <formula>"must have 162 starts"</formula>
    </cfRule>
  </conditionalFormatting>
  <conditionalFormatting sqref="AG3:AG22">
    <cfRule type="cellIs" dxfId="2891" priority="1888" stopIfTrue="1" operator="equal">
      <formula>"must average at least 5 innings per start"</formula>
    </cfRule>
  </conditionalFormatting>
  <conditionalFormatting sqref="AG23">
    <cfRule type="cellIs" dxfId="2890" priority="1887" stopIfTrue="1" operator="equal">
      <formula>"must have 162 starts"</formula>
    </cfRule>
  </conditionalFormatting>
  <conditionalFormatting sqref="AK3:AK22">
    <cfRule type="cellIs" dxfId="2889" priority="1886" stopIfTrue="1" operator="equal">
      <formula>"must average at least 5 innings per start"</formula>
    </cfRule>
  </conditionalFormatting>
  <conditionalFormatting sqref="AK23">
    <cfRule type="cellIs" dxfId="2888" priority="1885" stopIfTrue="1" operator="equal">
      <formula>"must have 162 starts"</formula>
    </cfRule>
  </conditionalFormatting>
  <conditionalFormatting sqref="AK3:AK22">
    <cfRule type="cellIs" dxfId="2887" priority="1884" stopIfTrue="1" operator="equal">
      <formula>"must average at least 5 innings per start"</formula>
    </cfRule>
  </conditionalFormatting>
  <conditionalFormatting sqref="AK23">
    <cfRule type="cellIs" dxfId="2886" priority="1883" stopIfTrue="1" operator="equal">
      <formula>"must have 162 starts"</formula>
    </cfRule>
  </conditionalFormatting>
  <conditionalFormatting sqref="AK3:AK22">
    <cfRule type="cellIs" dxfId="2885" priority="1882" stopIfTrue="1" operator="equal">
      <formula>"must average at least 5 innings per start"</formula>
    </cfRule>
  </conditionalFormatting>
  <conditionalFormatting sqref="AK23">
    <cfRule type="cellIs" dxfId="2884" priority="1881" stopIfTrue="1" operator="equal">
      <formula>"must have 162 starts"</formula>
    </cfRule>
  </conditionalFormatting>
  <conditionalFormatting sqref="AG3:AG22">
    <cfRule type="cellIs" dxfId="2883" priority="1880" stopIfTrue="1" operator="equal">
      <formula>"must average at least 5 innings per start"</formula>
    </cfRule>
  </conditionalFormatting>
  <conditionalFormatting sqref="AG23">
    <cfRule type="cellIs" dxfId="2882" priority="1879" stopIfTrue="1" operator="equal">
      <formula>"must have 162 starts"</formula>
    </cfRule>
  </conditionalFormatting>
  <conditionalFormatting sqref="AK3:AK22">
    <cfRule type="cellIs" dxfId="2881" priority="1878" stopIfTrue="1" operator="equal">
      <formula>"must average at least 5 innings per start"</formula>
    </cfRule>
  </conditionalFormatting>
  <conditionalFormatting sqref="AK23">
    <cfRule type="cellIs" dxfId="2880" priority="1877" stopIfTrue="1" operator="equal">
      <formula>"must have 162 starts"</formula>
    </cfRule>
  </conditionalFormatting>
  <conditionalFormatting sqref="AG3:AG22">
    <cfRule type="cellIs" dxfId="2879" priority="1876" stopIfTrue="1" operator="equal">
      <formula>"must average at least 5 innings per start"</formula>
    </cfRule>
  </conditionalFormatting>
  <conditionalFormatting sqref="AG23">
    <cfRule type="cellIs" dxfId="2878" priority="1875" stopIfTrue="1" operator="equal">
      <formula>"must have 162 starts"</formula>
    </cfRule>
  </conditionalFormatting>
  <conditionalFormatting sqref="Q2">
    <cfRule type="cellIs" dxfId="2877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11261" divId="ROTcheck_11261" sourceType="sheet" destinationFile="C:\1kading\schedule\skedcha.html"/>
    <webPublishItem id="15585" divId="ROTcheck_15585" sourceType="range" sourceRef="A1:O193" destinationFile="C:\1kading\schedule\rostcha.html"/>
    <webPublishItem id="11772" divId="ROTcheck_11772" sourceType="range" sourceRef="A156:O185" destinationFile="C:\1kading\schedule\skedcha.html"/>
  </webPublishItems>
</worksheet>
</file>

<file path=xl/worksheets/sheet22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2" customWidth="1"/>
    <col min="2" max="2" width="3.7109375" style="2" customWidth="1"/>
    <col min="3" max="3" width="5.85546875" style="2" customWidth="1"/>
    <col min="4" max="4" width="29.57031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22.8554687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8554687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16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 t="s">
        <v>32</v>
      </c>
      <c r="C3" s="33" t="s">
        <v>1918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40" t="s">
        <v>672</v>
      </c>
      <c r="T3" s="46" t="str">
        <f>IF(ISERROR((VLOOKUP(S3,Pitchers!$B$1:H$800,4,FALSE))),"",(VLOOKUP(S3,Pitchers!$B$1:H$800,4,FALSE)))</f>
        <v>STL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15</v>
      </c>
      <c r="X3" s="47">
        <f>IF(ISERROR((VLOOKUP(S3,Pitchers!B$2:AA$795,11,FALSE))),"",(VLOOKUP(S3,Pitchers!B$2:AA$795,11,FALSE)))</f>
        <v>25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 xml:space="preserve"> 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>H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OSH</v>
      </c>
    </row>
    <row r="4" spans="1:36" ht="12.75" customHeight="1">
      <c r="A4" s="6">
        <v>4.0199999999999996</v>
      </c>
      <c r="B4" s="33" t="s">
        <v>32</v>
      </c>
      <c r="C4" s="33" t="s">
        <v>1918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40" t="s">
        <v>1777</v>
      </c>
      <c r="T4" s="46" t="str">
        <f>IF(ISERROR((VLOOKUP(S4,Pitchers!$B$1:H$800,4,FALSE))),"",(VLOOKUP(S4,Pitchers!$B$1:H$800,4,FALSE)))</f>
        <v>PHI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9</v>
      </c>
      <c r="X4" s="47">
        <f>IF(ISERROR((VLOOKUP(S4,Pitchers!B$2:AA$795,11,FALSE))),"",(VLOOKUP(S4,Pitchers!B$2:AA$795,11,FALSE)))</f>
        <v>78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>Z</v>
      </c>
      <c r="AD4" s="53" t="str">
        <f>IF(ISERROR((VLOOKUP(S4,Pitchers!B$2:AA$795,18,FALSE))),"",(VLOOKUP(S4,Pitchers!B$2:AA$795,18,FALSE)))</f>
        <v>L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OSH</v>
      </c>
    </row>
    <row r="5" spans="1:36" ht="12.75" customHeight="1">
      <c r="A5" s="6">
        <v>4.03</v>
      </c>
      <c r="B5" s="33" t="s">
        <v>32</v>
      </c>
      <c r="C5" s="33" t="s">
        <v>1918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40" t="s">
        <v>1536</v>
      </c>
      <c r="T5" s="46" t="str">
        <f>IF(ISERROR((VLOOKUP(S5,Pitchers!$B$1:H$800,4,FALSE))),"",(VLOOKUP(S5,Pitchers!$B$1:H$800,4,FALSE)))</f>
        <v>MIA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7</v>
      </c>
      <c r="X5" s="47">
        <f>IF(ISERROR((VLOOKUP(S5,Pitchers!B$2:AA$795,11,FALSE))),"",(VLOOKUP(S5,Pitchers!B$2:AA$795,11,FALSE)))</f>
        <v>59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OSH</v>
      </c>
    </row>
    <row r="6" spans="1:36" ht="12.75" customHeight="1">
      <c r="A6" s="6">
        <v>4.04</v>
      </c>
      <c r="B6" s="33" t="s">
        <v>32</v>
      </c>
      <c r="C6" s="33" t="s">
        <v>1918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40" t="s">
        <v>383</v>
      </c>
      <c r="T6" s="46" t="str">
        <f>IF(ISERROR((VLOOKUP(S6,Pitchers!$B$1:H$800,4,FALSE))),"",(VLOOKUP(S6,Pitchers!$B$1:H$800,4,FALSE)))</f>
        <v>ARI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5</v>
      </c>
      <c r="X6" s="47">
        <f>IF(ISERROR((VLOOKUP(S6,Pitchers!B$2:AA$795,11,FALSE))),"",(VLOOKUP(S6,Pitchers!B$2:AA$795,11,FALSE)))</f>
        <v>146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>L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OSH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40" t="s">
        <v>1904</v>
      </c>
      <c r="T7" s="46" t="str">
        <f>IF(ISERROR((VLOOKUP(S7,Pitchers!$B$1:H$800,4,FALSE))),"",(VLOOKUP(S7,Pitchers!$B$1:H$800,4,FALSE)))</f>
        <v>ATL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5</v>
      </c>
      <c r="X7" s="47">
        <f>IF(ISERROR((VLOOKUP(S7,Pitchers!B$2:AA$795,11,FALSE))),"",(VLOOKUP(S7,Pitchers!B$2:AA$795,11,FALSE)))</f>
        <v>107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40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40" t="s">
        <v>523</v>
      </c>
      <c r="T8" s="46" t="str">
        <f>IF(ISERROR((VLOOKUP(S8,Pitchers!$B$1:H$800,4,FALSE))),"",(VLOOKUP(S8,Pitchers!$B$1:H$800,4,FALSE)))</f>
        <v>MIN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36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>Y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>G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OSH</v>
      </c>
    </row>
    <row r="9" spans="1:36" ht="12.75">
      <c r="A9" s="6">
        <v>4.07</v>
      </c>
      <c r="B9" s="33"/>
      <c r="C9" s="33" t="s">
        <v>40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40" t="s">
        <v>486</v>
      </c>
      <c r="T9" s="46" t="str">
        <f>IF(ISERROR((VLOOKUP(S9,Pitchers!$B$1:H$800,4,FALSE))),"",(VLOOKUP(S9,Pitchers!$B$1:H$800,4,FALSE)))</f>
        <v>LAD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23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XY</v>
      </c>
      <c r="AC9" s="52" t="str">
        <f>IF(ISERROR((VLOOKUP(S9,Pitchers!B$2:AA$795,17,FALSE))),"",(VLOOKUP(S9,Pitchers!B$2:AA$795,17,FALSE)))</f>
        <v>Z</v>
      </c>
      <c r="AD9" s="53" t="str">
        <f>IF(ISERROR((VLOOKUP(S9,Pitchers!B$2:AA$795,18,FALSE))),"",(VLOOKUP(S9,Pitchers!B$2:AA$795,18,FALSE)))</f>
        <v>M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OSH</v>
      </c>
    </row>
    <row r="10" spans="1:36" ht="12.75">
      <c r="A10" s="6">
        <v>4.08</v>
      </c>
      <c r="B10" s="33"/>
      <c r="C10" s="33" t="s">
        <v>40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40" t="s">
        <v>514</v>
      </c>
      <c r="T10" s="46" t="str">
        <f>IF(ISERROR((VLOOKUP(S10,Pitchers!$B$1:H$800,4,FALSE))),"",(VLOOKUP(S10,Pitchers!$B$1:H$800,4,FALSE)))</f>
        <v>LAD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4</v>
      </c>
      <c r="X10" s="47">
        <f>IF(ISERROR((VLOOKUP(S10,Pitchers!B$2:AA$795,11,FALSE))),"",(VLOOKUP(S10,Pitchers!B$2:AA$795,11,FALSE)))</f>
        <v>5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X</v>
      </c>
      <c r="AC10" s="52" t="str">
        <f>IF(ISERROR((VLOOKUP(S10,Pitchers!B$2:AA$795,17,FALSE))),"",(VLOOKUP(S10,Pitchers!B$2:AA$795,17,FALSE)))</f>
        <v>W</v>
      </c>
      <c r="AD10" s="53" t="str">
        <f>IF(ISERROR((VLOOKUP(S10,Pitchers!B$2:AA$795,18,FALSE))),"",(VLOOKUP(S10,Pitchers!B$2:AA$795,18,FALSE)))</f>
        <v>H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OSH</v>
      </c>
    </row>
    <row r="11" spans="1:36" ht="12.75">
      <c r="A11" s="6">
        <v>4.09</v>
      </c>
      <c r="B11" s="33"/>
      <c r="C11" s="33" t="s">
        <v>40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40" t="s">
        <v>1676</v>
      </c>
      <c r="T11" s="46" t="str">
        <f>IF(ISERROR((VLOOKUP(S11,Pitchers!$B$1:H$800,4,FALSE))),"",(VLOOKUP(S11,Pitchers!$B$1:H$800,4,FALSE)))</f>
        <v>CIN</v>
      </c>
      <c r="U11" s="45" t="str">
        <f>IF(ISERROR((VLOOKUP(S11,Pitchers!B$2:AA$795,10,FALSE))),"",(VLOOKUP(S11,Pitchers!B$2:AA$795,10,FALSE)))</f>
        <v>L</v>
      </c>
      <c r="V11" s="41"/>
      <c r="W11" s="46">
        <f>IF(ISERROR((VLOOKUP(S11,Pitchers!B$2:AA$795,13,FALSE))),"",(VLOOKUP(S11,Pitchers!B$2:AA$795,13,FALSE)))</f>
        <v>2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>X</v>
      </c>
      <c r="AC11" s="52" t="str">
        <f>IF(ISERROR((VLOOKUP(S11,Pitchers!B$2:AA$795,17,FALSE))),"",(VLOOKUP(S11,Pitchers!B$2:AA$795,17,FALSE)))</f>
        <v xml:space="preserve"> </v>
      </c>
      <c r="AD11" s="53" t="str">
        <f>IF(ISERROR((VLOOKUP(S11,Pitchers!B$2:AA$795,18,FALSE))),"",(VLOOKUP(S11,Pitchers!B$2:AA$795,18,FALSE)))</f>
        <v>L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OSH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80" t="s">
        <v>1510</v>
      </c>
      <c r="T12" s="46" t="str">
        <f>IF(ISERROR((VLOOKUP(S12,Pitchers!$B$1:H$800,4,FALSE))),"",(VLOOKUP(S12,Pitchers!$B$1:H$800,4,FALSE)))</f>
        <v>TOT</v>
      </c>
      <c r="U12" s="45" t="str">
        <f>IF(ISERROR((VLOOKUP(S12,Pitchers!B$2:AA$795,10,FALSE))),"",(VLOOKUP(S12,Pitchers!B$2:AA$795,10,FALSE)))</f>
        <v>L</v>
      </c>
      <c r="V12" s="21"/>
      <c r="W12" s="46">
        <f>IF(ISERROR((VLOOKUP(S12,Pitchers!B$2:AA$795,13,FALSE))),"",(VLOOKUP(S12,Pitchers!B$2:AA$795,13,FALSE)))</f>
        <v>1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 xml:space="preserve"> </v>
      </c>
      <c r="AD12" s="53" t="str">
        <f>IF(ISERROR((VLOOKUP(S12,Pitchers!B$2:AA$795,18,FALSE))),"",(VLOOKUP(S12,Pitchers!B$2:AA$795,18,FALSE)))</f>
        <v>M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 t="s">
        <v>32</v>
      </c>
      <c r="C13" s="33" t="s">
        <v>55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81" t="s">
        <v>1892</v>
      </c>
      <c r="T13" s="46" t="str">
        <f>IF(ISERROR((VLOOKUP(S13,Pitchers!$B$1:H$800,4,FALSE))),"",(VLOOKUP(S13,Pitchers!$B$1:H$800,4,FALSE)))</f>
        <v>MIL</v>
      </c>
      <c r="U13" s="45" t="str">
        <f>IF(ISERROR((VLOOKUP(S13,Pitchers!B$2:AA$795,10,FALSE))),"",(VLOOKUP(S13,Pitchers!B$2:AA$795,10,FALSE)))</f>
        <v>R</v>
      </c>
      <c r="V13" s="21"/>
      <c r="W13" s="46">
        <f>IF(ISERROR((VLOOKUP(S13,Pitchers!B$2:AA$795,13,FALSE))),"",(VLOOKUP(S13,Pitchers!B$2:AA$795,13,FALSE)))</f>
        <v>1</v>
      </c>
      <c r="X13" s="47">
        <f>IF(ISERROR((VLOOKUP(S13,Pitchers!B$2:AA$795,11,FALSE))),"",(VLOOKUP(S13,Pitchers!B$2:AA$795,11,FALSE)))</f>
        <v>200</v>
      </c>
      <c r="Y13" s="22"/>
      <c r="Z13" s="22"/>
      <c r="AA13" s="22"/>
      <c r="AB13" s="51" t="str">
        <f>IF(ISERROR((VLOOKUP(S13,Pitchers!B$2:AA$795,16,FALSE))),"",(VLOOKUP(S13,Pitchers!B$2:AA$795,16,FALSE)))</f>
        <v xml:space="preserve"> </v>
      </c>
      <c r="AC13" s="52" t="str">
        <f>IF(ISERROR((VLOOKUP(S13,Pitchers!B$2:AA$795,17,FALSE))),"",(VLOOKUP(S13,Pitchers!B$2:AA$795,17,FALSE)))</f>
        <v>W</v>
      </c>
      <c r="AD13" s="53" t="str">
        <f>IF(ISERROR((VLOOKUP(S13,Pitchers!B$2:AA$795,18,FALSE))),"",(VLOOKUP(S13,Pitchers!B$2:AA$795,18,FALSE)))</f>
        <v>G</v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OSH</v>
      </c>
    </row>
    <row r="14" spans="1:36" ht="12.75">
      <c r="A14" s="6">
        <v>4.12</v>
      </c>
      <c r="B14" s="33" t="s">
        <v>32</v>
      </c>
      <c r="C14" s="33" t="s">
        <v>55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OSH</v>
      </c>
    </row>
    <row r="15" spans="1:36" ht="12.75">
      <c r="A15" s="6">
        <v>4.13</v>
      </c>
      <c r="B15" s="33" t="s">
        <v>32</v>
      </c>
      <c r="C15" s="33" t="s">
        <v>55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OSH</v>
      </c>
    </row>
    <row r="16" spans="1:36" ht="12.75">
      <c r="A16" s="6">
        <v>4.1399999999999997</v>
      </c>
      <c r="B16" s="33" t="s">
        <v>32</v>
      </c>
      <c r="C16" s="33" t="s">
        <v>55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OSH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33" t="s">
        <v>47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OSH</v>
      </c>
    </row>
    <row r="19" spans="1:36" ht="12.75">
      <c r="A19" s="6">
        <v>4.17</v>
      </c>
      <c r="B19" s="33" t="s">
        <v>32</v>
      </c>
      <c r="C19" s="33" t="s">
        <v>47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OSH</v>
      </c>
    </row>
    <row r="20" spans="1:36" ht="12.75">
      <c r="A20" s="6">
        <v>4.18</v>
      </c>
      <c r="B20" s="33" t="s">
        <v>32</v>
      </c>
      <c r="C20" s="33" t="s">
        <v>47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OSH</v>
      </c>
    </row>
    <row r="21" spans="1:36" ht="12.75">
      <c r="A21" s="6">
        <v>4.1900000000000004</v>
      </c>
      <c r="B21" s="33" t="s">
        <v>32</v>
      </c>
      <c r="C21" s="33" t="s">
        <v>47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OSH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56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OSH</v>
      </c>
    </row>
    <row r="24" spans="1:36" ht="12.75">
      <c r="A24" s="6">
        <v>4.22</v>
      </c>
      <c r="B24" s="33"/>
      <c r="C24" s="33" t="s">
        <v>56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OSH</v>
      </c>
    </row>
    <row r="25" spans="1:36" ht="12.75">
      <c r="A25" s="6">
        <v>4.2300000000000004</v>
      </c>
      <c r="B25" s="33"/>
      <c r="C25" s="33" t="s">
        <v>56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OSH</v>
      </c>
    </row>
    <row r="26" spans="1:36" ht="12.75">
      <c r="A26" s="6">
        <v>4.24</v>
      </c>
      <c r="B26" s="33"/>
      <c r="C26" s="33" t="s">
        <v>56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OSH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33" t="s">
        <v>45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OSH</v>
      </c>
    </row>
    <row r="29" spans="1:36" ht="12.75">
      <c r="A29" s="6">
        <v>4.2699999999999996</v>
      </c>
      <c r="B29" s="33" t="s">
        <v>32</v>
      </c>
      <c r="C29" s="33" t="s">
        <v>45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OSH</v>
      </c>
    </row>
    <row r="30" spans="1:36" ht="12.75">
      <c r="A30" s="6">
        <v>4.28</v>
      </c>
      <c r="B30" s="33" t="s">
        <v>32</v>
      </c>
      <c r="C30" s="33" t="s">
        <v>45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OSH</v>
      </c>
    </row>
    <row r="31" spans="1:36" ht="12.75">
      <c r="A31" s="6">
        <v>4.29</v>
      </c>
      <c r="B31" s="33" t="s">
        <v>32</v>
      </c>
      <c r="C31" s="33" t="s">
        <v>45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OSH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3"/>
      <c r="C33" s="33" t="s">
        <v>34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OSH</v>
      </c>
    </row>
    <row r="34" spans="1:36" ht="12.75">
      <c r="A34" s="6">
        <v>5.0199999999999996</v>
      </c>
      <c r="B34" s="33"/>
      <c r="C34" s="33" t="s">
        <v>34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OSH</v>
      </c>
    </row>
    <row r="35" spans="1:36" ht="12.75">
      <c r="A35" s="6">
        <v>5.03</v>
      </c>
      <c r="B35" s="33"/>
      <c r="C35" s="33" t="s">
        <v>34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OSH</v>
      </c>
    </row>
    <row r="36" spans="1:36" ht="12.75">
      <c r="A36" s="6">
        <v>5.04</v>
      </c>
      <c r="B36" s="33"/>
      <c r="C36" s="33" t="s">
        <v>34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OSH</v>
      </c>
    </row>
    <row r="37" spans="1:36" ht="12.75">
      <c r="A37" s="6">
        <v>5.05</v>
      </c>
      <c r="B37" s="33"/>
      <c r="C37" s="33" t="s">
        <v>41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OSH</v>
      </c>
    </row>
    <row r="38" spans="1:36" ht="12.75">
      <c r="A38" s="6">
        <v>5.0599999999999996</v>
      </c>
      <c r="B38" s="33"/>
      <c r="C38" s="33" t="s">
        <v>41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OSH</v>
      </c>
    </row>
    <row r="39" spans="1:36" ht="12.75">
      <c r="A39" s="6">
        <v>5.07</v>
      </c>
      <c r="B39" s="33"/>
      <c r="C39" s="33" t="s">
        <v>41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OSH</v>
      </c>
    </row>
    <row r="40" spans="1:36" ht="12.75">
      <c r="A40" s="6">
        <v>5.08</v>
      </c>
      <c r="B40" s="33"/>
      <c r="C40" s="33" t="s">
        <v>41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OSH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1919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OSH</v>
      </c>
    </row>
    <row r="43" spans="1:36" ht="12.75">
      <c r="A43" s="6">
        <v>5.1100000000000003</v>
      </c>
      <c r="B43" s="33"/>
      <c r="C43" s="33" t="s">
        <v>1919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OSH</v>
      </c>
    </row>
    <row r="44" spans="1:36" ht="12.75">
      <c r="A44" s="6">
        <v>5.12</v>
      </c>
      <c r="B44" s="33"/>
      <c r="C44" s="33" t="s">
        <v>1919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OSH</v>
      </c>
    </row>
    <row r="45" spans="1:36" ht="12.75">
      <c r="A45" s="6">
        <v>5.13</v>
      </c>
      <c r="B45" s="33"/>
      <c r="C45" s="33" t="s">
        <v>1919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OSH</v>
      </c>
    </row>
    <row r="46" spans="1:36" ht="12.75">
      <c r="A46" s="6">
        <v>5.14</v>
      </c>
      <c r="B46" s="33"/>
      <c r="C46" s="33" t="s">
        <v>33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OSH</v>
      </c>
    </row>
    <row r="47" spans="1:36" ht="12.75">
      <c r="A47" s="6">
        <v>5.15</v>
      </c>
      <c r="B47" s="33"/>
      <c r="C47" s="33" t="s">
        <v>33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OSH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/>
      <c r="C49" s="33" t="s">
        <v>33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OSH</v>
      </c>
    </row>
    <row r="50" spans="1:36" ht="12.75">
      <c r="A50" s="6">
        <v>5.18</v>
      </c>
      <c r="B50" s="33"/>
      <c r="C50" s="33" t="s">
        <v>33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OSH</v>
      </c>
    </row>
    <row r="51" spans="1:36" ht="12.75">
      <c r="A51" s="6">
        <v>5.19</v>
      </c>
      <c r="B51" s="33"/>
      <c r="C51" s="33" t="s">
        <v>13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OSH</v>
      </c>
    </row>
    <row r="52" spans="1:36" ht="12.75">
      <c r="A52" s="6">
        <v>5.2</v>
      </c>
      <c r="B52" s="33"/>
      <c r="C52" s="33" t="s">
        <v>13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OSH</v>
      </c>
    </row>
    <row r="53" spans="1:36" ht="12.75">
      <c r="A53" s="6">
        <v>5.21</v>
      </c>
      <c r="B53" s="33"/>
      <c r="C53" s="33" t="s">
        <v>13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OSH</v>
      </c>
    </row>
    <row r="54" spans="1:36" ht="12.75">
      <c r="A54" s="6">
        <v>5.22</v>
      </c>
      <c r="B54" s="33"/>
      <c r="C54" s="33" t="s">
        <v>13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OSH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48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OSH</v>
      </c>
    </row>
    <row r="57" spans="1:36" ht="12.75">
      <c r="A57" s="6">
        <v>5.25</v>
      </c>
      <c r="B57" s="33" t="s">
        <v>32</v>
      </c>
      <c r="C57" s="33" t="s">
        <v>48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OSH</v>
      </c>
    </row>
    <row r="58" spans="1:36" ht="12.75">
      <c r="A58" s="6">
        <v>5.26</v>
      </c>
      <c r="B58" s="33" t="s">
        <v>32</v>
      </c>
      <c r="C58" s="33" t="s">
        <v>48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OSH</v>
      </c>
    </row>
    <row r="59" spans="1:36" ht="12.75">
      <c r="A59" s="6">
        <v>5.27</v>
      </c>
      <c r="B59" s="33" t="s">
        <v>32</v>
      </c>
      <c r="C59" s="33" t="s">
        <v>48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OSH</v>
      </c>
    </row>
    <row r="60" spans="1:36" ht="12.75">
      <c r="A60" s="6">
        <v>5.28</v>
      </c>
      <c r="B60" s="33" t="s">
        <v>32</v>
      </c>
      <c r="C60" s="33" t="s">
        <v>53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OSH</v>
      </c>
    </row>
    <row r="61" spans="1:36" ht="12.75">
      <c r="A61" s="6">
        <v>5.29</v>
      </c>
      <c r="B61" s="33" t="s">
        <v>32</v>
      </c>
      <c r="C61" s="33" t="s">
        <v>53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OSH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53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OSH</v>
      </c>
    </row>
    <row r="64" spans="1:36" ht="12.75">
      <c r="A64" s="6">
        <v>6.01</v>
      </c>
      <c r="B64" s="33"/>
      <c r="C64" s="33" t="s">
        <v>1191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OSH</v>
      </c>
    </row>
    <row r="65" spans="1:36" ht="12.75">
      <c r="A65" s="6">
        <v>6.02</v>
      </c>
      <c r="B65" s="33"/>
      <c r="C65" s="33" t="s">
        <v>1191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OSH</v>
      </c>
    </row>
    <row r="66" spans="1:36" ht="12.75">
      <c r="A66" s="6">
        <v>6.03</v>
      </c>
      <c r="B66" s="33"/>
      <c r="C66" s="33" t="s">
        <v>1191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OSH</v>
      </c>
    </row>
    <row r="67" spans="1:36" ht="12.75">
      <c r="A67" s="6">
        <v>6.04</v>
      </c>
      <c r="B67" s="33"/>
      <c r="C67" s="33" t="s">
        <v>1191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OSH</v>
      </c>
    </row>
    <row r="68" spans="1:36" ht="12.75">
      <c r="A68" s="6">
        <v>6.05</v>
      </c>
      <c r="B68" s="33" t="s">
        <v>32</v>
      </c>
      <c r="C68" s="33" t="s">
        <v>54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OSH</v>
      </c>
    </row>
    <row r="69" spans="1:36" ht="12.75">
      <c r="A69" s="6">
        <v>6.06</v>
      </c>
      <c r="B69" s="33" t="s">
        <v>32</v>
      </c>
      <c r="C69" s="33" t="s">
        <v>54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OSH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3" t="s">
        <v>32</v>
      </c>
      <c r="C71" s="33" t="s">
        <v>54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OSH</v>
      </c>
    </row>
    <row r="72" spans="1:36" ht="12.75">
      <c r="A72" s="6">
        <v>6.09</v>
      </c>
      <c r="B72" s="33" t="s">
        <v>32</v>
      </c>
      <c r="C72" s="33" t="s">
        <v>54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OSH</v>
      </c>
    </row>
    <row r="73" spans="1:36" ht="12.75">
      <c r="A73" s="6">
        <v>6.1</v>
      </c>
      <c r="B73" s="33"/>
      <c r="C73" s="33" t="s">
        <v>1917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OSH</v>
      </c>
    </row>
    <row r="74" spans="1:36" ht="12.75">
      <c r="A74" s="6">
        <v>6.11</v>
      </c>
      <c r="B74" s="33"/>
      <c r="C74" s="33" t="s">
        <v>1917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OSH</v>
      </c>
    </row>
    <row r="75" spans="1:36" ht="12.75">
      <c r="A75" s="6">
        <v>6.12</v>
      </c>
      <c r="B75" s="33"/>
      <c r="C75" s="33" t="s">
        <v>1917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OSH</v>
      </c>
    </row>
    <row r="76" spans="1:36" ht="12.75">
      <c r="A76" s="6">
        <v>6.13</v>
      </c>
      <c r="B76" s="33"/>
      <c r="C76" s="33" t="s">
        <v>1917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OSH</v>
      </c>
    </row>
    <row r="77" spans="1:36" ht="12.75">
      <c r="A77" s="6">
        <v>6.14</v>
      </c>
      <c r="B77" s="32" t="s">
        <v>32</v>
      </c>
      <c r="C77" s="33" t="s">
        <v>35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OSH</v>
      </c>
    </row>
    <row r="78" spans="1:36" ht="12.75">
      <c r="A78" s="6">
        <v>6.15</v>
      </c>
      <c r="B78" s="32" t="s">
        <v>32</v>
      </c>
      <c r="C78" s="33" t="s">
        <v>35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OSH</v>
      </c>
    </row>
    <row r="79" spans="1:36" ht="12.75">
      <c r="A79" s="6">
        <v>6.16</v>
      </c>
      <c r="B79" s="32" t="s">
        <v>32</v>
      </c>
      <c r="C79" s="33" t="s">
        <v>35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OSH</v>
      </c>
    </row>
    <row r="80" spans="1:36" ht="12.75">
      <c r="A80" s="6">
        <v>6.17</v>
      </c>
      <c r="B80" s="32" t="s">
        <v>32</v>
      </c>
      <c r="C80" s="33" t="s">
        <v>35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OSH</v>
      </c>
    </row>
    <row r="81" spans="1:36" ht="12.75">
      <c r="A81" s="6">
        <v>6.18</v>
      </c>
      <c r="B81" s="33" t="s">
        <v>32</v>
      </c>
      <c r="C81" s="33" t="s">
        <v>44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OSH</v>
      </c>
    </row>
    <row r="82" spans="1:36" ht="12.75">
      <c r="A82" s="6">
        <v>6.19</v>
      </c>
      <c r="B82" s="33" t="s">
        <v>32</v>
      </c>
      <c r="C82" s="33" t="s">
        <v>44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OSH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3" t="s">
        <v>32</v>
      </c>
      <c r="C84" s="33" t="s">
        <v>44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OSH</v>
      </c>
    </row>
    <row r="85" spans="1:36" ht="12.75">
      <c r="A85" s="6">
        <v>6.22</v>
      </c>
      <c r="B85" s="33" t="s">
        <v>32</v>
      </c>
      <c r="C85" s="33" t="s">
        <v>44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OSH</v>
      </c>
    </row>
    <row r="86" spans="1:36" ht="12.75">
      <c r="A86" s="6">
        <v>6.23</v>
      </c>
      <c r="B86" s="33" t="s">
        <v>32</v>
      </c>
      <c r="C86" s="33" t="s">
        <v>14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OSH</v>
      </c>
    </row>
    <row r="87" spans="1:36" ht="12.75">
      <c r="A87" s="6">
        <v>6.24</v>
      </c>
      <c r="B87" s="33" t="s">
        <v>32</v>
      </c>
      <c r="C87" s="33" t="s">
        <v>14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OSH</v>
      </c>
    </row>
    <row r="88" spans="1:36" ht="12.75">
      <c r="A88" s="6">
        <v>6.25</v>
      </c>
      <c r="B88" s="33" t="s">
        <v>32</v>
      </c>
      <c r="C88" s="33" t="s">
        <v>14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OSH</v>
      </c>
    </row>
    <row r="89" spans="1:36" ht="12.75">
      <c r="A89" s="6">
        <v>6.26</v>
      </c>
      <c r="B89" s="33" t="s">
        <v>32</v>
      </c>
      <c r="C89" s="33" t="s">
        <v>14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OSH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5">
      <c r="A91" s="6">
        <v>6.28</v>
      </c>
      <c r="B91" s="36" t="s">
        <v>32</v>
      </c>
      <c r="C91" s="36" t="s">
        <v>43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OSH</v>
      </c>
    </row>
    <row r="92" spans="1:36" ht="15">
      <c r="A92" s="6">
        <v>6.29</v>
      </c>
      <c r="B92" s="36" t="s">
        <v>32</v>
      </c>
      <c r="C92" s="36" t="s">
        <v>43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OSH</v>
      </c>
    </row>
    <row r="93" spans="1:36" ht="15">
      <c r="A93" s="6">
        <v>6.3</v>
      </c>
      <c r="B93" s="36" t="s">
        <v>32</v>
      </c>
      <c r="C93" s="36" t="s">
        <v>43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OSH</v>
      </c>
    </row>
    <row r="94" spans="1:36" ht="12.75">
      <c r="A94" s="6">
        <v>7.01</v>
      </c>
      <c r="B94" s="33"/>
      <c r="C94" s="33" t="s">
        <v>12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OSH</v>
      </c>
    </row>
    <row r="95" spans="1:36" ht="12.75">
      <c r="A95" s="6">
        <v>7.02</v>
      </c>
      <c r="B95" s="33"/>
      <c r="C95" s="33" t="s">
        <v>12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OSH</v>
      </c>
    </row>
    <row r="96" spans="1:36" ht="12.75">
      <c r="A96" s="6">
        <v>7.03</v>
      </c>
      <c r="B96" s="33"/>
      <c r="C96" s="33" t="s">
        <v>12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OSH</v>
      </c>
    </row>
    <row r="97" spans="1:36" ht="12.75">
      <c r="A97" s="6">
        <v>7.04</v>
      </c>
      <c r="B97" s="33"/>
      <c r="C97" s="33" t="s">
        <v>49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OSH</v>
      </c>
    </row>
    <row r="98" spans="1:36" ht="12.75">
      <c r="A98" s="6">
        <v>7.05</v>
      </c>
      <c r="B98" s="33"/>
      <c r="C98" s="33" t="s">
        <v>49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OSH</v>
      </c>
    </row>
    <row r="99" spans="1:36" ht="12.75">
      <c r="A99" s="6">
        <v>7.06</v>
      </c>
      <c r="B99" s="33"/>
      <c r="C99" s="33" t="s">
        <v>49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OSH</v>
      </c>
    </row>
    <row r="100" spans="1:36" ht="12.75">
      <c r="A100" s="6">
        <v>7.07</v>
      </c>
      <c r="B100" s="33" t="s">
        <v>32</v>
      </c>
      <c r="C100" s="33" t="s">
        <v>52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OSH</v>
      </c>
    </row>
    <row r="101" spans="1:36" ht="12.75">
      <c r="A101" s="6">
        <v>7.08</v>
      </c>
      <c r="B101" s="33" t="s">
        <v>32</v>
      </c>
      <c r="C101" s="33" t="s">
        <v>52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OSH</v>
      </c>
    </row>
    <row r="102" spans="1:36" ht="12.75">
      <c r="A102" s="6">
        <v>7.09</v>
      </c>
      <c r="B102" s="33" t="s">
        <v>32</v>
      </c>
      <c r="C102" s="33" t="s">
        <v>52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OSH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39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OSH</v>
      </c>
    </row>
    <row r="107" spans="1:36" ht="12.75">
      <c r="A107" s="6">
        <v>7.14</v>
      </c>
      <c r="B107" s="33"/>
      <c r="C107" s="33" t="s">
        <v>39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OSH</v>
      </c>
    </row>
    <row r="108" spans="1:36" ht="12.75">
      <c r="A108" s="6">
        <v>7.15</v>
      </c>
      <c r="B108" s="33"/>
      <c r="C108" s="33" t="s">
        <v>39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OSH</v>
      </c>
    </row>
    <row r="109" spans="1:36" ht="12.75">
      <c r="A109" s="6">
        <v>7.16</v>
      </c>
      <c r="B109" s="33"/>
      <c r="C109" s="33" t="s">
        <v>51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OSH</v>
      </c>
    </row>
    <row r="110" spans="1:36" ht="12.75">
      <c r="A110" s="6">
        <v>7.17</v>
      </c>
      <c r="B110" s="33"/>
      <c r="C110" s="33" t="s">
        <v>51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OSH</v>
      </c>
    </row>
    <row r="111" spans="1:36" ht="12.75">
      <c r="A111" s="6">
        <v>7.18</v>
      </c>
      <c r="B111" s="33"/>
      <c r="C111" s="33" t="s">
        <v>51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OSH</v>
      </c>
    </row>
    <row r="112" spans="1:36" ht="12.75">
      <c r="A112" s="6">
        <v>7.19</v>
      </c>
      <c r="B112" s="33"/>
      <c r="C112" s="33" t="s">
        <v>42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OSH</v>
      </c>
    </row>
    <row r="113" spans="1:36" ht="12.75">
      <c r="A113" s="6">
        <v>7.2</v>
      </c>
      <c r="B113" s="33"/>
      <c r="C113" s="33" t="s">
        <v>42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OSH</v>
      </c>
    </row>
    <row r="114" spans="1:36" ht="12.75">
      <c r="A114" s="6">
        <v>7.21</v>
      </c>
      <c r="B114" s="33"/>
      <c r="C114" s="33" t="s">
        <v>42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OSH</v>
      </c>
    </row>
    <row r="115" spans="1:36" ht="12.75">
      <c r="A115" s="6">
        <v>7.22</v>
      </c>
      <c r="B115" s="33"/>
      <c r="C115" s="33" t="s">
        <v>42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OSH</v>
      </c>
    </row>
    <row r="116" spans="1:36" ht="12.75">
      <c r="A116" s="6">
        <v>7.23</v>
      </c>
      <c r="B116" s="33" t="s">
        <v>32</v>
      </c>
      <c r="C116" s="33" t="s">
        <v>46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OSH</v>
      </c>
    </row>
    <row r="117" spans="1:36" ht="12.75">
      <c r="A117" s="6">
        <v>7.24</v>
      </c>
      <c r="B117" s="33" t="s">
        <v>32</v>
      </c>
      <c r="C117" s="33" t="s">
        <v>46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OSH</v>
      </c>
    </row>
    <row r="118" spans="1:36" ht="12.75">
      <c r="A118" s="6">
        <v>7.25</v>
      </c>
      <c r="B118" s="33" t="s">
        <v>32</v>
      </c>
      <c r="C118" s="33" t="s">
        <v>46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OSH</v>
      </c>
    </row>
    <row r="119" spans="1:36" ht="12.75">
      <c r="A119" s="6">
        <v>7.26</v>
      </c>
      <c r="B119" s="33" t="s">
        <v>32</v>
      </c>
      <c r="C119" s="33" t="s">
        <v>46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OSH</v>
      </c>
    </row>
    <row r="120" spans="1:36" ht="12.75">
      <c r="A120" s="6">
        <v>7.27</v>
      </c>
      <c r="B120" s="33"/>
      <c r="C120" s="33" t="s">
        <v>15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OSH</v>
      </c>
    </row>
    <row r="121" spans="1:36" ht="12.75">
      <c r="A121" s="6">
        <v>7.28</v>
      </c>
      <c r="B121" s="33"/>
      <c r="C121" s="33" t="s">
        <v>15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OSH</v>
      </c>
    </row>
    <row r="122" spans="1:36" ht="12.75">
      <c r="A122" s="6">
        <v>7.29</v>
      </c>
      <c r="B122" s="33"/>
      <c r="C122" s="33" t="s">
        <v>15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OSH</v>
      </c>
    </row>
    <row r="123" spans="1:36" ht="12.75">
      <c r="A123" s="6">
        <v>7.3</v>
      </c>
      <c r="B123" s="33"/>
      <c r="C123" s="33" t="s">
        <v>15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OSH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17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OSH</v>
      </c>
    </row>
    <row r="126" spans="1:36" ht="12.75">
      <c r="A126" s="6">
        <v>8.02</v>
      </c>
      <c r="B126" s="33" t="s">
        <v>32</v>
      </c>
      <c r="C126" s="33" t="s">
        <v>17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OSH</v>
      </c>
    </row>
    <row r="127" spans="1:36" ht="12.75">
      <c r="A127" s="6">
        <v>8.0299999999999994</v>
      </c>
      <c r="B127" s="33" t="s">
        <v>32</v>
      </c>
      <c r="C127" s="33" t="s">
        <v>17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OSH</v>
      </c>
    </row>
    <row r="128" spans="1:36" ht="12.75">
      <c r="A128" s="6">
        <v>8.0399999999999991</v>
      </c>
      <c r="B128" s="33" t="s">
        <v>32</v>
      </c>
      <c r="C128" s="33" t="s">
        <v>17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OSH</v>
      </c>
    </row>
    <row r="129" spans="1:36" ht="12.75">
      <c r="A129" s="6">
        <v>8.0500000000000007</v>
      </c>
      <c r="B129" s="33" t="s">
        <v>32</v>
      </c>
      <c r="C129" s="33" t="s">
        <v>12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OSH</v>
      </c>
    </row>
    <row r="130" spans="1:36" ht="12.75">
      <c r="A130" s="6">
        <v>8.06</v>
      </c>
      <c r="B130" s="33" t="s">
        <v>32</v>
      </c>
      <c r="C130" s="33" t="s">
        <v>12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OSH</v>
      </c>
    </row>
    <row r="131" spans="1:36" ht="12.75">
      <c r="A131" s="6">
        <v>8.07</v>
      </c>
      <c r="B131" s="33" t="s">
        <v>32</v>
      </c>
      <c r="C131" s="33" t="s">
        <v>12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OSH</v>
      </c>
    </row>
    <row r="132" spans="1:36" ht="12.75">
      <c r="A132" s="6">
        <v>8.08</v>
      </c>
      <c r="B132" s="33" t="s">
        <v>32</v>
      </c>
      <c r="C132" s="33" t="s">
        <v>12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OSH</v>
      </c>
    </row>
    <row r="133" spans="1:36" ht="12.75">
      <c r="A133" s="6">
        <v>8.09</v>
      </c>
      <c r="B133" s="33" t="s">
        <v>32</v>
      </c>
      <c r="C133" s="33" t="s">
        <v>51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OSH</v>
      </c>
    </row>
    <row r="134" spans="1:36" ht="12.75">
      <c r="A134" s="6">
        <v>8.1</v>
      </c>
      <c r="B134" s="33" t="s">
        <v>32</v>
      </c>
      <c r="C134" s="33" t="s">
        <v>51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OSH</v>
      </c>
    </row>
    <row r="135" spans="1:36" ht="12.75">
      <c r="A135" s="6">
        <v>8.11</v>
      </c>
      <c r="B135" s="33" t="s">
        <v>32</v>
      </c>
      <c r="C135" s="33" t="s">
        <v>51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OSH</v>
      </c>
    </row>
    <row r="136" spans="1:36" ht="12.75">
      <c r="A136" s="6">
        <v>8.1199999999999992</v>
      </c>
      <c r="B136" s="33" t="s">
        <v>32</v>
      </c>
      <c r="C136" s="33" t="s">
        <v>51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OSH</v>
      </c>
    </row>
    <row r="137" spans="1:36" ht="12.75">
      <c r="A137" s="6">
        <v>8.1300000000000008</v>
      </c>
      <c r="B137" s="33"/>
      <c r="C137" s="33" t="s">
        <v>43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OSH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43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OSH</v>
      </c>
    </row>
    <row r="140" spans="1:36" ht="12.75">
      <c r="A140" s="6">
        <v>8.16</v>
      </c>
      <c r="B140" s="33"/>
      <c r="C140" s="33" t="s">
        <v>43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OSH</v>
      </c>
    </row>
    <row r="141" spans="1:36" ht="12.75">
      <c r="A141" s="6">
        <v>8.17</v>
      </c>
      <c r="B141" s="33"/>
      <c r="C141" s="33" t="s">
        <v>43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OSH</v>
      </c>
    </row>
    <row r="142" spans="1:36" ht="12.75">
      <c r="A142" s="6">
        <v>8.18</v>
      </c>
      <c r="B142" s="32" t="s">
        <v>32</v>
      </c>
      <c r="C142" s="33" t="s">
        <v>34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OSH</v>
      </c>
    </row>
    <row r="143" spans="1:36" ht="12.75">
      <c r="A143" s="6">
        <v>8.19</v>
      </c>
      <c r="B143" s="32" t="s">
        <v>32</v>
      </c>
      <c r="C143" s="33" t="s">
        <v>34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OSH</v>
      </c>
    </row>
    <row r="144" spans="1:36" ht="12.75">
      <c r="A144" s="6">
        <v>8.1999999999999993</v>
      </c>
      <c r="B144" s="32" t="s">
        <v>32</v>
      </c>
      <c r="C144" s="33" t="s">
        <v>34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OSH</v>
      </c>
    </row>
    <row r="145" spans="1:36" ht="12.75">
      <c r="A145" s="6">
        <v>8.2100000000000009</v>
      </c>
      <c r="B145" s="33" t="s">
        <v>32</v>
      </c>
      <c r="C145" s="33" t="s">
        <v>39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OSH</v>
      </c>
    </row>
    <row r="146" spans="1:36" ht="12.75">
      <c r="A146" s="6">
        <v>8.2200000000000006</v>
      </c>
      <c r="B146" s="33" t="s">
        <v>32</v>
      </c>
      <c r="C146" s="33" t="s">
        <v>39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OSH</v>
      </c>
    </row>
    <row r="147" spans="1:36" ht="12.75">
      <c r="A147" s="6">
        <v>8.23</v>
      </c>
      <c r="B147" s="33" t="s">
        <v>32</v>
      </c>
      <c r="C147" s="33" t="s">
        <v>39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OSH</v>
      </c>
    </row>
    <row r="148" spans="1:36" ht="12.75">
      <c r="A148" s="6">
        <v>8.24</v>
      </c>
      <c r="B148" s="33" t="s">
        <v>32</v>
      </c>
      <c r="C148" s="33" t="s">
        <v>39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OSH</v>
      </c>
    </row>
    <row r="149" spans="1:36" ht="12.75">
      <c r="A149" s="6">
        <v>8.25</v>
      </c>
      <c r="B149" s="33" t="s">
        <v>32</v>
      </c>
      <c r="C149" s="33" t="s">
        <v>49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OSH</v>
      </c>
    </row>
    <row r="150" spans="1:36" ht="12.75">
      <c r="A150" s="6">
        <v>8.26</v>
      </c>
      <c r="B150" s="33" t="s">
        <v>32</v>
      </c>
      <c r="C150" s="33" t="s">
        <v>49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OSH</v>
      </c>
    </row>
    <row r="151" spans="1:36" ht="12.75">
      <c r="A151" s="6">
        <v>8.27</v>
      </c>
      <c r="B151" s="33" t="s">
        <v>32</v>
      </c>
      <c r="C151" s="33" t="s">
        <v>49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OSH</v>
      </c>
    </row>
    <row r="152" spans="1:36" ht="12.75">
      <c r="A152" s="6">
        <v>8.2799999999999994</v>
      </c>
      <c r="B152" s="33" t="s">
        <v>32</v>
      </c>
      <c r="C152" s="33" t="s">
        <v>49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OSH</v>
      </c>
    </row>
    <row r="153" spans="1:36" ht="12.75">
      <c r="A153" s="6">
        <v>8.2899999999999991</v>
      </c>
      <c r="B153" s="33" t="s">
        <v>32</v>
      </c>
      <c r="C153" s="33" t="s">
        <v>41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OSH</v>
      </c>
    </row>
    <row r="154" spans="1:36" ht="12.75">
      <c r="A154" s="6">
        <v>8.3000000000000007</v>
      </c>
      <c r="B154" s="33" t="s">
        <v>32</v>
      </c>
      <c r="C154" s="33" t="s">
        <v>41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OSH</v>
      </c>
    </row>
    <row r="155" spans="1:36" ht="12.75">
      <c r="A155" s="6">
        <v>8.31</v>
      </c>
      <c r="B155" s="33" t="s">
        <v>32</v>
      </c>
      <c r="C155" s="33" t="s">
        <v>41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OSH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13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OSH</v>
      </c>
    </row>
    <row r="158" spans="1:36" ht="12.75">
      <c r="A158" s="6">
        <v>9.0299999999999994</v>
      </c>
      <c r="B158" s="33" t="s">
        <v>32</v>
      </c>
      <c r="C158" s="33" t="s">
        <v>13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OSH</v>
      </c>
    </row>
    <row r="159" spans="1:36" ht="12.75">
      <c r="A159" s="6">
        <v>9.0399999999999991</v>
      </c>
      <c r="B159" s="33" t="s">
        <v>32</v>
      </c>
      <c r="C159" s="33" t="s">
        <v>13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OSH</v>
      </c>
    </row>
    <row r="160" spans="1:36" ht="12.75">
      <c r="A160" s="6">
        <v>9.0500000000000007</v>
      </c>
      <c r="B160" s="33"/>
      <c r="C160" s="33" t="s">
        <v>54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OSH</v>
      </c>
    </row>
    <row r="161" spans="1:36" ht="12.75">
      <c r="A161" s="6">
        <v>9.06</v>
      </c>
      <c r="B161" s="33"/>
      <c r="C161" s="33" t="s">
        <v>54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OSH</v>
      </c>
    </row>
    <row r="162" spans="1:36" ht="12.75">
      <c r="A162" s="6">
        <v>9.07</v>
      </c>
      <c r="B162" s="33"/>
      <c r="C162" s="33" t="s">
        <v>54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OSH</v>
      </c>
    </row>
    <row r="163" spans="1:36" ht="12.75">
      <c r="A163" s="6">
        <v>9.08</v>
      </c>
      <c r="B163" s="33" t="s">
        <v>32</v>
      </c>
      <c r="C163" s="33" t="s">
        <v>33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OSH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3" t="s">
        <v>32</v>
      </c>
      <c r="C165" s="33" t="s">
        <v>33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OSH</v>
      </c>
    </row>
    <row r="166" spans="1:36" ht="12.75">
      <c r="A166" s="6">
        <v>9.11</v>
      </c>
      <c r="B166" s="33" t="s">
        <v>32</v>
      </c>
      <c r="C166" s="33" t="s">
        <v>33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OSH</v>
      </c>
    </row>
    <row r="167" spans="1:36" ht="12.75">
      <c r="A167" s="6">
        <v>9.1199999999999992</v>
      </c>
      <c r="B167" s="33"/>
      <c r="C167" s="33" t="s">
        <v>53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OSH</v>
      </c>
    </row>
    <row r="168" spans="1:36" ht="12.75">
      <c r="A168" s="6">
        <v>9.1300000000000008</v>
      </c>
      <c r="B168" s="33"/>
      <c r="C168" s="33" t="s">
        <v>53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OSH</v>
      </c>
    </row>
    <row r="169" spans="1:36" ht="12.75">
      <c r="A169" s="6">
        <v>9.14</v>
      </c>
      <c r="B169" s="33"/>
      <c r="C169" s="33" t="s">
        <v>53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OSH</v>
      </c>
    </row>
    <row r="170" spans="1:36" ht="12.75">
      <c r="A170" s="6">
        <v>9.15</v>
      </c>
      <c r="B170" s="33"/>
      <c r="C170" s="33" t="s">
        <v>53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OSH</v>
      </c>
    </row>
    <row r="171" spans="1:36" ht="12.75">
      <c r="A171" s="6">
        <v>9.16</v>
      </c>
      <c r="B171" s="33"/>
      <c r="C171" s="33" t="s">
        <v>17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OSH</v>
      </c>
    </row>
    <row r="172" spans="1:36" ht="12.75">
      <c r="A172" s="6">
        <v>9.17</v>
      </c>
      <c r="B172" s="33"/>
      <c r="C172" s="33" t="s">
        <v>17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OSH</v>
      </c>
    </row>
    <row r="173" spans="1:36" ht="12.75">
      <c r="A173" s="6">
        <v>9.18</v>
      </c>
      <c r="B173" s="33"/>
      <c r="C173" s="33" t="s">
        <v>17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OSH</v>
      </c>
    </row>
    <row r="174" spans="1:36" ht="12.75">
      <c r="A174" s="6">
        <v>9.19</v>
      </c>
      <c r="B174" s="33"/>
      <c r="C174" s="33" t="s">
        <v>52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OSH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52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OSH</v>
      </c>
    </row>
    <row r="177" spans="1:36" ht="12.75">
      <c r="A177" s="6">
        <v>9.2200000000000006</v>
      </c>
      <c r="B177" s="33"/>
      <c r="C177" s="33" t="s">
        <v>52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OSH</v>
      </c>
    </row>
    <row r="178" spans="1:36" ht="12.75">
      <c r="A178" s="6">
        <v>9.23</v>
      </c>
      <c r="B178" s="33"/>
      <c r="C178" s="33" t="s">
        <v>52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OSH</v>
      </c>
    </row>
    <row r="179" spans="1:36" ht="12.75">
      <c r="A179" s="6">
        <v>9.24</v>
      </c>
      <c r="B179" s="33"/>
      <c r="C179" s="33" t="s">
        <v>1918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OSH</v>
      </c>
    </row>
    <row r="180" spans="1:36" ht="12.75">
      <c r="A180" s="6">
        <v>9.25</v>
      </c>
      <c r="B180" s="33"/>
      <c r="C180" s="33" t="s">
        <v>1918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OSH</v>
      </c>
    </row>
    <row r="181" spans="1:36" ht="12.75">
      <c r="A181" s="6">
        <v>9.26</v>
      </c>
      <c r="B181" s="33"/>
      <c r="C181" s="33" t="s">
        <v>1918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OSH</v>
      </c>
    </row>
    <row r="182" spans="1:36" ht="12.75">
      <c r="A182" s="6">
        <v>9.27</v>
      </c>
      <c r="B182" s="33"/>
      <c r="C182" s="33" t="s">
        <v>14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OSH</v>
      </c>
    </row>
    <row r="183" spans="1:36" ht="12.75">
      <c r="A183" s="6">
        <v>9.2799999999999994</v>
      </c>
      <c r="B183" s="33"/>
      <c r="C183" s="33" t="s">
        <v>14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OSH</v>
      </c>
    </row>
    <row r="184" spans="1:36" ht="12.75">
      <c r="A184" s="6">
        <v>9.2899999999999991</v>
      </c>
      <c r="B184" s="33"/>
      <c r="C184" s="33" t="s">
        <v>14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OSH</v>
      </c>
    </row>
    <row r="185" spans="1:36" ht="12.75">
      <c r="A185" s="6">
        <v>9.3000000000000007</v>
      </c>
      <c r="B185" s="33"/>
      <c r="C185" s="33" t="s">
        <v>14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OSH</v>
      </c>
    </row>
    <row r="186" spans="1:36">
      <c r="A186" s="6"/>
      <c r="B186" s="6"/>
      <c r="D186" s="4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4:36"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4:36">
      <c r="K194" s="2"/>
      <c r="AJ194" s="2"/>
    </row>
    <row r="195" spans="4:36">
      <c r="K195" s="2"/>
      <c r="AJ195" s="2"/>
    </row>
    <row r="196" spans="4:36">
      <c r="K196" s="2"/>
      <c r="AJ196" s="2"/>
    </row>
    <row r="197" spans="4:36">
      <c r="K197" s="2"/>
      <c r="AJ197" s="2"/>
    </row>
    <row r="198" spans="4:36">
      <c r="K198" s="2"/>
      <c r="AJ198" s="2"/>
    </row>
    <row r="199" spans="4:36">
      <c r="K199" s="2"/>
      <c r="AJ199" s="2"/>
    </row>
    <row r="200" spans="4:36">
      <c r="K200" s="2"/>
      <c r="AJ200" s="2"/>
    </row>
    <row r="201" spans="4:36">
      <c r="K201" s="2"/>
      <c r="AJ201" s="2"/>
    </row>
    <row r="202" spans="4:36">
      <c r="K202" s="2"/>
      <c r="AJ202" s="2"/>
    </row>
    <row r="203" spans="4:36">
      <c r="K203" s="2"/>
      <c r="AJ203" s="2"/>
    </row>
    <row r="204" spans="4:36">
      <c r="AJ204" s="2"/>
    </row>
    <row r="205" spans="4:36">
      <c r="AJ205" s="2"/>
    </row>
    <row r="206" spans="4:36">
      <c r="AJ206" s="2"/>
    </row>
    <row r="207" spans="4:36">
      <c r="AJ207" s="2"/>
    </row>
    <row r="208" spans="4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2876" priority="447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75" priority="448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2874" priority="449" stopIfTrue="1" operator="equal">
      <formula>"input a different starter in column C"</formula>
    </cfRule>
  </conditionalFormatting>
  <conditionalFormatting sqref="AK23">
    <cfRule type="cellIs" dxfId="2873" priority="451" stopIfTrue="1" operator="equal">
      <formula>"must have 162 starts"</formula>
    </cfRule>
  </conditionalFormatting>
  <conditionalFormatting sqref="AH3:AH22">
    <cfRule type="cellIs" dxfId="2872" priority="333" stopIfTrue="1" operator="equal">
      <formula>"must average at least 5 innings per start"</formula>
    </cfRule>
  </conditionalFormatting>
  <conditionalFormatting sqref="AH23">
    <cfRule type="cellIs" dxfId="2871" priority="332" stopIfTrue="1" operator="equal">
      <formula>"must have 162 starts"</formula>
    </cfRule>
  </conditionalFormatting>
  <conditionalFormatting sqref="AG3:AG22">
    <cfRule type="cellIs" dxfId="2870" priority="331" stopIfTrue="1" operator="equal">
      <formula>"must average at least 5 innings per start"</formula>
    </cfRule>
  </conditionalFormatting>
  <conditionalFormatting sqref="AG23">
    <cfRule type="cellIs" dxfId="2869" priority="330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68" priority="32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67" priority="32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66" priority="32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65" priority="32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64" priority="32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63" priority="32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62" priority="32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61" priority="32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60" priority="32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59" priority="32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58" priority="31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57" priority="31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56" priority="31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55" priority="31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54" priority="31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853" priority="314" stopIfTrue="1" operator="equal">
      <formula>"input starter in column C"</formula>
    </cfRule>
  </conditionalFormatting>
  <conditionalFormatting sqref="P3">
    <cfRule type="cellIs" dxfId="2852" priority="313" stopIfTrue="1" operator="equal">
      <formula>"input starter in column D"</formula>
    </cfRule>
  </conditionalFormatting>
  <conditionalFormatting sqref="P4">
    <cfRule type="cellIs" dxfId="2851" priority="312" stopIfTrue="1" operator="equal">
      <formula>"input starter in column D"</formula>
    </cfRule>
  </conditionalFormatting>
  <conditionalFormatting sqref="P5">
    <cfRule type="cellIs" dxfId="2850" priority="311" stopIfTrue="1" operator="equal">
      <formula>"INPUT STARTER IN COLUMN D"</formula>
    </cfRule>
  </conditionalFormatting>
  <conditionalFormatting sqref="P6">
    <cfRule type="cellIs" dxfId="2849" priority="310" stopIfTrue="1" operator="equal">
      <formula>"INPUT STARTER IN COLUMN D"</formula>
    </cfRule>
  </conditionalFormatting>
  <conditionalFormatting sqref="P8">
    <cfRule type="cellIs" dxfId="2848" priority="309" stopIfTrue="1" operator="equal">
      <formula>"INPUT STARTER IN COLUMN D"</formula>
    </cfRule>
  </conditionalFormatting>
  <conditionalFormatting sqref="P9">
    <cfRule type="cellIs" dxfId="2847" priority="308" stopIfTrue="1" operator="equal">
      <formula>"INPUT STARTER IN COLUMN D"</formula>
    </cfRule>
  </conditionalFormatting>
  <conditionalFormatting sqref="P10">
    <cfRule type="cellIs" dxfId="2846" priority="307" stopIfTrue="1" operator="equal">
      <formula>"INPUT STARTER IN COLUMN D"</formula>
    </cfRule>
  </conditionalFormatting>
  <conditionalFormatting sqref="P11">
    <cfRule type="cellIs" dxfId="2845" priority="306" stopIfTrue="1" operator="equal">
      <formula>"INPUT STARTER IN COLUMN D"</formula>
    </cfRule>
  </conditionalFormatting>
  <conditionalFormatting sqref="P13">
    <cfRule type="cellIs" dxfId="2844" priority="305" stopIfTrue="1" operator="equal">
      <formula>"INPUT STARTER IN COLUMN D"</formula>
    </cfRule>
  </conditionalFormatting>
  <conditionalFormatting sqref="P14">
    <cfRule type="cellIs" dxfId="2843" priority="304" stopIfTrue="1" operator="equal">
      <formula>"INPUT STARTER IN COLUMN D"</formula>
    </cfRule>
  </conditionalFormatting>
  <conditionalFormatting sqref="P15">
    <cfRule type="cellIs" dxfId="2842" priority="303" stopIfTrue="1" operator="equal">
      <formula>"INPUT STARTER IN COLUMN D"</formula>
    </cfRule>
  </conditionalFormatting>
  <conditionalFormatting sqref="P16">
    <cfRule type="cellIs" dxfId="2841" priority="302" stopIfTrue="1" operator="equal">
      <formula>"INPUT STARTER IN COLUMN D"</formula>
    </cfRule>
  </conditionalFormatting>
  <conditionalFormatting sqref="P18">
    <cfRule type="cellIs" dxfId="2840" priority="301" stopIfTrue="1" operator="equal">
      <formula>"INPUT STARTER IN COLUMN D"</formula>
    </cfRule>
  </conditionalFormatting>
  <conditionalFormatting sqref="P19">
    <cfRule type="cellIs" dxfId="2839" priority="300" stopIfTrue="1" operator="equal">
      <formula>"INPUT STARTER IN COLUMN D"</formula>
    </cfRule>
  </conditionalFormatting>
  <conditionalFormatting sqref="P20">
    <cfRule type="cellIs" dxfId="2838" priority="299" stopIfTrue="1" operator="equal">
      <formula>"INPUT STARTER IN COLUMN D"</formula>
    </cfRule>
  </conditionalFormatting>
  <conditionalFormatting sqref="P21">
    <cfRule type="cellIs" dxfId="2837" priority="298" stopIfTrue="1" operator="equal">
      <formula>"INPUT STARTER IN COLUMN D"</formula>
    </cfRule>
  </conditionalFormatting>
  <conditionalFormatting sqref="P23">
    <cfRule type="cellIs" dxfId="2836" priority="297" stopIfTrue="1" operator="equal">
      <formula>"INPUT STARTER IN COLUMN D"</formula>
    </cfRule>
  </conditionalFormatting>
  <conditionalFormatting sqref="P24">
    <cfRule type="cellIs" dxfId="2835" priority="296" stopIfTrue="1" operator="equal">
      <formula>"INPUT STARTER IN COLUMN D"</formula>
    </cfRule>
  </conditionalFormatting>
  <conditionalFormatting sqref="P25">
    <cfRule type="cellIs" dxfId="2834" priority="295" stopIfTrue="1" operator="equal">
      <formula>"INPUT STARTER IN COLUMN D"</formula>
    </cfRule>
  </conditionalFormatting>
  <conditionalFormatting sqref="P26">
    <cfRule type="cellIs" dxfId="2833" priority="294" stopIfTrue="1" operator="equal">
      <formula>"INPUT STARTER IN COLUMN D"</formula>
    </cfRule>
  </conditionalFormatting>
  <conditionalFormatting sqref="P28">
    <cfRule type="cellIs" dxfId="2832" priority="293" stopIfTrue="1" operator="equal">
      <formula>"INPUT STARTER IN COLUMN D"</formula>
    </cfRule>
  </conditionalFormatting>
  <conditionalFormatting sqref="P29">
    <cfRule type="cellIs" dxfId="2831" priority="292" stopIfTrue="1" operator="equal">
      <formula>"INPUT STARTER IN COLUMN D"</formula>
    </cfRule>
  </conditionalFormatting>
  <conditionalFormatting sqref="P30">
    <cfRule type="cellIs" dxfId="2830" priority="291" stopIfTrue="1" operator="equal">
      <formula>"INPUT STARTER IN COLUMN D"</formula>
    </cfRule>
  </conditionalFormatting>
  <conditionalFormatting sqref="P31">
    <cfRule type="cellIs" dxfId="2829" priority="290" stopIfTrue="1" operator="equal">
      <formula>"INPUT STARTER IN COLUMN D"</formula>
    </cfRule>
  </conditionalFormatting>
  <conditionalFormatting sqref="P33">
    <cfRule type="cellIs" dxfId="2828" priority="289" stopIfTrue="1" operator="equal">
      <formula>"INPUT STARTER IN COLUMN D"</formula>
    </cfRule>
  </conditionalFormatting>
  <conditionalFormatting sqref="P34">
    <cfRule type="cellIs" dxfId="2827" priority="288" stopIfTrue="1" operator="equal">
      <formula>"INPUT STARTER IN COLUMN D"</formula>
    </cfRule>
  </conditionalFormatting>
  <conditionalFormatting sqref="P35">
    <cfRule type="cellIs" dxfId="2826" priority="287" stopIfTrue="1" operator="equal">
      <formula>"INPUT STARTER IN COLUMN D"</formula>
    </cfRule>
  </conditionalFormatting>
  <conditionalFormatting sqref="P36">
    <cfRule type="cellIs" dxfId="2825" priority="286" stopIfTrue="1" operator="equal">
      <formula>"INPUT STARTER IN COLUMN D"</formula>
    </cfRule>
  </conditionalFormatting>
  <conditionalFormatting sqref="P37">
    <cfRule type="cellIs" dxfId="2824" priority="285" stopIfTrue="1" operator="equal">
      <formula>"INPUT STARTER IN COLUMN D"</formula>
    </cfRule>
  </conditionalFormatting>
  <conditionalFormatting sqref="P38">
    <cfRule type="cellIs" dxfId="2823" priority="284" stopIfTrue="1" operator="equal">
      <formula>"INPUT STARTER IN COLUMN D"</formula>
    </cfRule>
  </conditionalFormatting>
  <conditionalFormatting sqref="P39">
    <cfRule type="cellIs" dxfId="2822" priority="283" stopIfTrue="1" operator="equal">
      <formula>"INPUT STARTER IN COLUMN D"</formula>
    </cfRule>
  </conditionalFormatting>
  <conditionalFormatting sqref="P40">
    <cfRule type="cellIs" dxfId="2821" priority="282" stopIfTrue="1" operator="equal">
      <formula>"INPUT STARTER IN COLUMN D"</formula>
    </cfRule>
  </conditionalFormatting>
  <conditionalFormatting sqref="P42">
    <cfRule type="cellIs" dxfId="2820" priority="281" stopIfTrue="1" operator="equal">
      <formula>"INPUT STARTER IN COLUMN D"</formula>
    </cfRule>
  </conditionalFormatting>
  <conditionalFormatting sqref="P43">
    <cfRule type="cellIs" dxfId="2819" priority="280" stopIfTrue="1" operator="equal">
      <formula>"INPUT STARTER IN COLUMN D"</formula>
    </cfRule>
  </conditionalFormatting>
  <conditionalFormatting sqref="P44">
    <cfRule type="cellIs" dxfId="2818" priority="279" stopIfTrue="1" operator="equal">
      <formula>"INPUT STARTER IN COLUMN D"</formula>
    </cfRule>
  </conditionalFormatting>
  <conditionalFormatting sqref="P45">
    <cfRule type="cellIs" dxfId="2817" priority="278" stopIfTrue="1" operator="equal">
      <formula>"INPUT STARTER IN COLUMN D"</formula>
    </cfRule>
  </conditionalFormatting>
  <conditionalFormatting sqref="P46">
    <cfRule type="cellIs" dxfId="2816" priority="277" stopIfTrue="1" operator="equal">
      <formula>"INPUT STARTER IN COLUMN D"</formula>
    </cfRule>
  </conditionalFormatting>
  <conditionalFormatting sqref="P47">
    <cfRule type="cellIs" dxfId="2815" priority="276" stopIfTrue="1" operator="equal">
      <formula>"INPUT STARTER IN COLUMN D"</formula>
    </cfRule>
  </conditionalFormatting>
  <conditionalFormatting sqref="P49">
    <cfRule type="cellIs" dxfId="2814" priority="275" stopIfTrue="1" operator="equal">
      <formula>"INPUT STARTER IN COLUMN D"</formula>
    </cfRule>
  </conditionalFormatting>
  <conditionalFormatting sqref="P50">
    <cfRule type="cellIs" dxfId="2813" priority="274" stopIfTrue="1" operator="equal">
      <formula>"INPUT STARTER IN COLUMN D"</formula>
    </cfRule>
  </conditionalFormatting>
  <conditionalFormatting sqref="P51">
    <cfRule type="cellIs" dxfId="2812" priority="273" stopIfTrue="1" operator="equal">
      <formula>"INPUT STARTER IN COLUMN D"</formula>
    </cfRule>
  </conditionalFormatting>
  <conditionalFormatting sqref="P52">
    <cfRule type="cellIs" dxfId="2811" priority="272" stopIfTrue="1" operator="equal">
      <formula>"INPUT STARTER IN COLUMN D"</formula>
    </cfRule>
  </conditionalFormatting>
  <conditionalFormatting sqref="P53">
    <cfRule type="cellIs" dxfId="2810" priority="271" stopIfTrue="1" operator="equal">
      <formula>"INPUT STARTER IN COLUMN D"</formula>
    </cfRule>
  </conditionalFormatting>
  <conditionalFormatting sqref="P54">
    <cfRule type="cellIs" dxfId="2809" priority="270" stopIfTrue="1" operator="equal">
      <formula>"INPUT STARTER IN COLUMN D"</formula>
    </cfRule>
  </conditionalFormatting>
  <conditionalFormatting sqref="P56">
    <cfRule type="cellIs" dxfId="2808" priority="269" stopIfTrue="1" operator="equal">
      <formula>"INPUT STARTER IN COLUMN D"</formula>
    </cfRule>
  </conditionalFormatting>
  <conditionalFormatting sqref="P57">
    <cfRule type="cellIs" dxfId="2807" priority="268" stopIfTrue="1" operator="equal">
      <formula>"INPUT STARTER IN COLUMN D"</formula>
    </cfRule>
  </conditionalFormatting>
  <conditionalFormatting sqref="P58">
    <cfRule type="cellIs" dxfId="2806" priority="267" stopIfTrue="1" operator="equal">
      <formula>"INPUT STARTER IN COLUMN D"</formula>
    </cfRule>
  </conditionalFormatting>
  <conditionalFormatting sqref="P59">
    <cfRule type="cellIs" dxfId="2805" priority="266" stopIfTrue="1" operator="equal">
      <formula>"INPUT STARTER IN COLUMN D"</formula>
    </cfRule>
  </conditionalFormatting>
  <conditionalFormatting sqref="P60">
    <cfRule type="cellIs" dxfId="2804" priority="265" stopIfTrue="1" operator="equal">
      <formula>"INPUT STARTER IN COLUMN D"</formula>
    </cfRule>
  </conditionalFormatting>
  <conditionalFormatting sqref="P61">
    <cfRule type="cellIs" dxfId="2803" priority="264" stopIfTrue="1" operator="equal">
      <formula>"INPUT STARTER IN COLUMN D"</formula>
    </cfRule>
  </conditionalFormatting>
  <conditionalFormatting sqref="P63">
    <cfRule type="cellIs" dxfId="2802" priority="263" stopIfTrue="1" operator="equal">
      <formula>"INPUT STARTER IN COLUMN D"</formula>
    </cfRule>
  </conditionalFormatting>
  <conditionalFormatting sqref="P64">
    <cfRule type="cellIs" dxfId="2801" priority="262" stopIfTrue="1" operator="equal">
      <formula>"INPUT STARTER IN COLUMN D"</formula>
    </cfRule>
  </conditionalFormatting>
  <conditionalFormatting sqref="P65">
    <cfRule type="cellIs" dxfId="2800" priority="261" stopIfTrue="1" operator="equal">
      <formula>"INPUT STARTER IN COLUMN D"</formula>
    </cfRule>
  </conditionalFormatting>
  <conditionalFormatting sqref="P66">
    <cfRule type="cellIs" dxfId="2799" priority="260" stopIfTrue="1" operator="equal">
      <formula>"INPUT STARTER IN COLUMN D"</formula>
    </cfRule>
  </conditionalFormatting>
  <conditionalFormatting sqref="P67">
    <cfRule type="cellIs" dxfId="2798" priority="259" stopIfTrue="1" operator="equal">
      <formula>"INPUT STARTER IN COLUMN D"</formula>
    </cfRule>
  </conditionalFormatting>
  <conditionalFormatting sqref="P68">
    <cfRule type="cellIs" dxfId="2797" priority="258" stopIfTrue="1" operator="equal">
      <formula>"INPUT STARTER IN COLUMN D"</formula>
    </cfRule>
  </conditionalFormatting>
  <conditionalFormatting sqref="P69">
    <cfRule type="cellIs" dxfId="2796" priority="257" stopIfTrue="1" operator="equal">
      <formula>"INPUT STARTER IN COLUMN D"</formula>
    </cfRule>
  </conditionalFormatting>
  <conditionalFormatting sqref="P71">
    <cfRule type="cellIs" dxfId="2795" priority="256" stopIfTrue="1" operator="equal">
      <formula>"INPUT STARTER IN COLUMN D"</formula>
    </cfRule>
  </conditionalFormatting>
  <conditionalFormatting sqref="P72">
    <cfRule type="cellIs" dxfId="2794" priority="255" stopIfTrue="1" operator="equal">
      <formula>"INPUT STARTER IN COLUMN D"</formula>
    </cfRule>
  </conditionalFormatting>
  <conditionalFormatting sqref="P73">
    <cfRule type="cellIs" dxfId="2793" priority="254" stopIfTrue="1" operator="equal">
      <formula>"INPUT STARTER IN COLUMN D"</formula>
    </cfRule>
  </conditionalFormatting>
  <conditionalFormatting sqref="P74">
    <cfRule type="cellIs" dxfId="2792" priority="253" stopIfTrue="1" operator="equal">
      <formula>"INPUT STARTER IN COLUMN D"</formula>
    </cfRule>
  </conditionalFormatting>
  <conditionalFormatting sqref="P75">
    <cfRule type="cellIs" dxfId="2791" priority="252" stopIfTrue="1" operator="equal">
      <formula>"INPUT STARTER IN COLUMN D"</formula>
    </cfRule>
  </conditionalFormatting>
  <conditionalFormatting sqref="P76">
    <cfRule type="cellIs" dxfId="2790" priority="251" stopIfTrue="1" operator="equal">
      <formula>"INPUT STARTER IN COLUMN D"</formula>
    </cfRule>
  </conditionalFormatting>
  <conditionalFormatting sqref="P77">
    <cfRule type="cellIs" dxfId="2789" priority="250" stopIfTrue="1" operator="equal">
      <formula>"INPUT STARTER IN COLUMN D"</formula>
    </cfRule>
  </conditionalFormatting>
  <conditionalFormatting sqref="P78">
    <cfRule type="cellIs" dxfId="2788" priority="249" stopIfTrue="1" operator="equal">
      <formula>"INPUT STARTER IN COLUMN D"</formula>
    </cfRule>
  </conditionalFormatting>
  <conditionalFormatting sqref="P79">
    <cfRule type="cellIs" dxfId="2787" priority="248" stopIfTrue="1" operator="equal">
      <formula>"INPUT STARTER IN COLUMN D"</formula>
    </cfRule>
  </conditionalFormatting>
  <conditionalFormatting sqref="P80">
    <cfRule type="cellIs" dxfId="2786" priority="247" stopIfTrue="1" operator="equal">
      <formula>"INPUT STARTER IN COLUMN D"</formula>
    </cfRule>
  </conditionalFormatting>
  <conditionalFormatting sqref="P81">
    <cfRule type="cellIs" dxfId="2785" priority="246" stopIfTrue="1" operator="equal">
      <formula>"INPUT STARTER IN COLUMN D"</formula>
    </cfRule>
  </conditionalFormatting>
  <conditionalFormatting sqref="P82">
    <cfRule type="cellIs" dxfId="2784" priority="245" stopIfTrue="1" operator="equal">
      <formula>"INPUT STARTER IN COLUMN D"</formula>
    </cfRule>
  </conditionalFormatting>
  <conditionalFormatting sqref="P84">
    <cfRule type="cellIs" dxfId="2783" priority="244" stopIfTrue="1" operator="equal">
      <formula>"INPUT STARTER IN COLUMN D"</formula>
    </cfRule>
  </conditionalFormatting>
  <conditionalFormatting sqref="P85">
    <cfRule type="cellIs" dxfId="2782" priority="243" stopIfTrue="1" operator="equal">
      <formula>"INPUT STARTER IN COLUMN D"</formula>
    </cfRule>
  </conditionalFormatting>
  <conditionalFormatting sqref="P86">
    <cfRule type="cellIs" dxfId="2781" priority="242" stopIfTrue="1" operator="equal">
      <formula>"INPUT STARTER IN COLUMN D"</formula>
    </cfRule>
  </conditionalFormatting>
  <conditionalFormatting sqref="P87">
    <cfRule type="cellIs" dxfId="2780" priority="241" stopIfTrue="1" operator="equal">
      <formula>"INPUT STARTER IN COLUMN D"</formula>
    </cfRule>
  </conditionalFormatting>
  <conditionalFormatting sqref="P88">
    <cfRule type="cellIs" dxfId="2779" priority="240" stopIfTrue="1" operator="equal">
      <formula>"INPUT STARTER IN COLUMN D"</formula>
    </cfRule>
  </conditionalFormatting>
  <conditionalFormatting sqref="P89">
    <cfRule type="cellIs" dxfId="2778" priority="239" stopIfTrue="1" operator="equal">
      <formula>"INPUT STARTER IN COLUMN D"</formula>
    </cfRule>
  </conditionalFormatting>
  <conditionalFormatting sqref="P91">
    <cfRule type="cellIs" dxfId="2777" priority="238" stopIfTrue="1" operator="equal">
      <formula>"INPUT STARTER IN COLUMN D"</formula>
    </cfRule>
  </conditionalFormatting>
  <conditionalFormatting sqref="P92">
    <cfRule type="cellIs" dxfId="2776" priority="237" stopIfTrue="1" operator="equal">
      <formula>"INPUT STARTER IN COLUMN D"</formula>
    </cfRule>
  </conditionalFormatting>
  <conditionalFormatting sqref="P93">
    <cfRule type="cellIs" dxfId="2775" priority="236" stopIfTrue="1" operator="equal">
      <formula>"INPUT STARTER IN COLUMN D"</formula>
    </cfRule>
  </conditionalFormatting>
  <conditionalFormatting sqref="P94">
    <cfRule type="cellIs" dxfId="2774" priority="235" stopIfTrue="1" operator="equal">
      <formula>"INPUT STARTER IN COLUMN D"</formula>
    </cfRule>
  </conditionalFormatting>
  <conditionalFormatting sqref="P95">
    <cfRule type="cellIs" dxfId="2773" priority="234" stopIfTrue="1" operator="equal">
      <formula>"INPUT STARTER IN COLUMN D"</formula>
    </cfRule>
  </conditionalFormatting>
  <conditionalFormatting sqref="P96">
    <cfRule type="cellIs" dxfId="2772" priority="233" stopIfTrue="1" operator="equal">
      <formula>"INPUT STARTER IN COLUMN D"</formula>
    </cfRule>
  </conditionalFormatting>
  <conditionalFormatting sqref="P97">
    <cfRule type="cellIs" dxfId="2771" priority="232" stopIfTrue="1" operator="equal">
      <formula>"INPUT STARTER IN COLUMN D"</formula>
    </cfRule>
  </conditionalFormatting>
  <conditionalFormatting sqref="P98">
    <cfRule type="cellIs" dxfId="2770" priority="231" stopIfTrue="1" operator="equal">
      <formula>"INPUT STARTER IN COLUMN D"</formula>
    </cfRule>
  </conditionalFormatting>
  <conditionalFormatting sqref="P99">
    <cfRule type="cellIs" dxfId="2769" priority="230" stopIfTrue="1" operator="equal">
      <formula>"INPUT STARTER IN COLUMN D"</formula>
    </cfRule>
  </conditionalFormatting>
  <conditionalFormatting sqref="P100">
    <cfRule type="cellIs" dxfId="2768" priority="229" stopIfTrue="1" operator="equal">
      <formula>"INPUT STARTER IN COLUMN D"</formula>
    </cfRule>
  </conditionalFormatting>
  <conditionalFormatting sqref="P101">
    <cfRule type="cellIs" dxfId="2767" priority="228" stopIfTrue="1" operator="equal">
      <formula>"INPUT STARTER IN COLUMN D"</formula>
    </cfRule>
  </conditionalFormatting>
  <conditionalFormatting sqref="P102">
    <cfRule type="cellIs" dxfId="2766" priority="227" stopIfTrue="1" operator="equal">
      <formula>"INPUT STARTER IN COLUMN D"</formula>
    </cfRule>
  </conditionalFormatting>
  <conditionalFormatting sqref="P106">
    <cfRule type="cellIs" dxfId="2765" priority="226" stopIfTrue="1" operator="equal">
      <formula>"INPUT STARTER IN COLUMN D"</formula>
    </cfRule>
  </conditionalFormatting>
  <conditionalFormatting sqref="P107">
    <cfRule type="cellIs" dxfId="2764" priority="225" stopIfTrue="1" operator="equal">
      <formula>"INPUT STARTER IN COLUMN D"</formula>
    </cfRule>
  </conditionalFormatting>
  <conditionalFormatting sqref="P108">
    <cfRule type="cellIs" dxfId="2763" priority="224" stopIfTrue="1" operator="equal">
      <formula>"INPUT STARTER IN COLUMN D"</formula>
    </cfRule>
  </conditionalFormatting>
  <conditionalFormatting sqref="P109">
    <cfRule type="cellIs" dxfId="2762" priority="223" stopIfTrue="1" operator="equal">
      <formula>"INPUT STARTER IN COLUMN D"</formula>
    </cfRule>
  </conditionalFormatting>
  <conditionalFormatting sqref="P110">
    <cfRule type="cellIs" dxfId="2761" priority="222" stopIfTrue="1" operator="equal">
      <formula>"INPUT STARTER IN COLUMN D"</formula>
    </cfRule>
  </conditionalFormatting>
  <conditionalFormatting sqref="P111">
    <cfRule type="cellIs" dxfId="2760" priority="221" stopIfTrue="1" operator="equal">
      <formula>"INPUT STARTER IN COLUMN D"</formula>
    </cfRule>
  </conditionalFormatting>
  <conditionalFormatting sqref="P112">
    <cfRule type="cellIs" dxfId="2759" priority="220" stopIfTrue="1" operator="equal">
      <formula>"INPUT STARTER IN COLUMN D"</formula>
    </cfRule>
  </conditionalFormatting>
  <conditionalFormatting sqref="P113">
    <cfRule type="cellIs" dxfId="2758" priority="219" stopIfTrue="1" operator="equal">
      <formula>"INPUT STARTER IN COLUMN D"</formula>
    </cfRule>
  </conditionalFormatting>
  <conditionalFormatting sqref="P114">
    <cfRule type="cellIs" dxfId="2757" priority="218" stopIfTrue="1" operator="equal">
      <formula>"INPUT STARTER IN COLUMN D"</formula>
    </cfRule>
  </conditionalFormatting>
  <conditionalFormatting sqref="P115">
    <cfRule type="cellIs" dxfId="2756" priority="217" stopIfTrue="1" operator="equal">
      <formula>"INPUT STARTER IN COLUMN D"</formula>
    </cfRule>
  </conditionalFormatting>
  <conditionalFormatting sqref="P116">
    <cfRule type="cellIs" dxfId="2755" priority="216" stopIfTrue="1" operator="equal">
      <formula>"INPUT STARTER IN COLUMN D"</formula>
    </cfRule>
  </conditionalFormatting>
  <conditionalFormatting sqref="P117">
    <cfRule type="cellIs" dxfId="2754" priority="215" stopIfTrue="1" operator="equal">
      <formula>"INPUT STARTER IN COLUMN D"</formula>
    </cfRule>
  </conditionalFormatting>
  <conditionalFormatting sqref="P118">
    <cfRule type="cellIs" dxfId="2753" priority="214" stopIfTrue="1" operator="equal">
      <formula>"INPUT STARTER IN COLUMN D"</formula>
    </cfRule>
  </conditionalFormatting>
  <conditionalFormatting sqref="P119">
    <cfRule type="cellIs" dxfId="2752" priority="213" stopIfTrue="1" operator="equal">
      <formula>"INPUT STARTER IN COLUMN D"</formula>
    </cfRule>
  </conditionalFormatting>
  <conditionalFormatting sqref="P120">
    <cfRule type="cellIs" dxfId="2751" priority="212" stopIfTrue="1" operator="equal">
      <formula>"INPUT STARTER IN COLUMN D"</formula>
    </cfRule>
  </conditionalFormatting>
  <conditionalFormatting sqref="P121">
    <cfRule type="cellIs" dxfId="2750" priority="211" stopIfTrue="1" operator="equal">
      <formula>"INPUT STARTER IN COLUMN D"</formula>
    </cfRule>
  </conditionalFormatting>
  <conditionalFormatting sqref="P122">
    <cfRule type="cellIs" dxfId="2749" priority="210" stopIfTrue="1" operator="equal">
      <formula>"INPUT STARTER IN COLUMN D"</formula>
    </cfRule>
  </conditionalFormatting>
  <conditionalFormatting sqref="P123">
    <cfRule type="cellIs" dxfId="2748" priority="209" stopIfTrue="1" operator="equal">
      <formula>"INPUT STARTER IN COLUMN D"</formula>
    </cfRule>
  </conditionalFormatting>
  <conditionalFormatting sqref="P125">
    <cfRule type="cellIs" dxfId="2747" priority="208" stopIfTrue="1" operator="equal">
      <formula>"INPUT STARTER IN COLUMN D"</formula>
    </cfRule>
  </conditionalFormatting>
  <conditionalFormatting sqref="P126">
    <cfRule type="cellIs" dxfId="2746" priority="207" stopIfTrue="1" operator="equal">
      <formula>"INPUT STARTER IN COLUMN D"</formula>
    </cfRule>
  </conditionalFormatting>
  <conditionalFormatting sqref="P127">
    <cfRule type="cellIs" dxfId="2745" priority="206" stopIfTrue="1" operator="equal">
      <formula>"INPUT STARTER IN COLUMN D"</formula>
    </cfRule>
  </conditionalFormatting>
  <conditionalFormatting sqref="P128">
    <cfRule type="cellIs" dxfId="2744" priority="205" stopIfTrue="1" operator="equal">
      <formula>"INPUT STARTER IN COLUMN D"</formula>
    </cfRule>
  </conditionalFormatting>
  <conditionalFormatting sqref="P129">
    <cfRule type="cellIs" dxfId="2743" priority="204" stopIfTrue="1" operator="equal">
      <formula>"INPUT STARTER IN COLUMN D"</formula>
    </cfRule>
  </conditionalFormatting>
  <conditionalFormatting sqref="P130">
    <cfRule type="cellIs" dxfId="2742" priority="203" stopIfTrue="1" operator="equal">
      <formula>"INPUT STARTER IN COLUMN D"</formula>
    </cfRule>
  </conditionalFormatting>
  <conditionalFormatting sqref="P131">
    <cfRule type="cellIs" dxfId="2741" priority="202" stopIfTrue="1" operator="equal">
      <formula>"INPUT STARTER IN COLUMN D"</formula>
    </cfRule>
  </conditionalFormatting>
  <conditionalFormatting sqref="P132">
    <cfRule type="cellIs" dxfId="2740" priority="201" stopIfTrue="1" operator="equal">
      <formula>"INPUT STARTER IN COLUMN D"</formula>
    </cfRule>
  </conditionalFormatting>
  <conditionalFormatting sqref="P133">
    <cfRule type="cellIs" dxfId="2739" priority="200" stopIfTrue="1" operator="equal">
      <formula>"INPUT STARTER IN COLUMN D"</formula>
    </cfRule>
  </conditionalFormatting>
  <conditionalFormatting sqref="P134">
    <cfRule type="cellIs" dxfId="2738" priority="199" stopIfTrue="1" operator="equal">
      <formula>"INPUT STARTER IN COLUMN D"</formula>
    </cfRule>
  </conditionalFormatting>
  <conditionalFormatting sqref="P135">
    <cfRule type="cellIs" dxfId="2737" priority="198" stopIfTrue="1" operator="equal">
      <formula>"INPUT STARTER IN COLUMN D"</formula>
    </cfRule>
  </conditionalFormatting>
  <conditionalFormatting sqref="P136">
    <cfRule type="cellIs" dxfId="2736" priority="197" stopIfTrue="1" operator="equal">
      <formula>"INPUT STARTER IN COLUMN D"</formula>
    </cfRule>
  </conditionalFormatting>
  <conditionalFormatting sqref="P137">
    <cfRule type="cellIs" dxfId="2735" priority="196" stopIfTrue="1" operator="equal">
      <formula>"INPUT STARTER IN COLUMN D"</formula>
    </cfRule>
  </conditionalFormatting>
  <conditionalFormatting sqref="P139">
    <cfRule type="cellIs" dxfId="2734" priority="195" stopIfTrue="1" operator="equal">
      <formula>"INPUT STARTER IN COLUMN D"</formula>
    </cfRule>
  </conditionalFormatting>
  <conditionalFormatting sqref="P140">
    <cfRule type="cellIs" dxfId="2733" priority="194" stopIfTrue="1" operator="equal">
      <formula>"INPUT STARTER IN COLUMN D"</formula>
    </cfRule>
  </conditionalFormatting>
  <conditionalFormatting sqref="P141">
    <cfRule type="cellIs" dxfId="2732" priority="193" stopIfTrue="1" operator="equal">
      <formula>"INPUT STARTER IN COLUMN D"</formula>
    </cfRule>
  </conditionalFormatting>
  <conditionalFormatting sqref="P142">
    <cfRule type="cellIs" dxfId="2731" priority="192" stopIfTrue="1" operator="equal">
      <formula>"INPUT STARTER IN COLUMN D"</formula>
    </cfRule>
  </conditionalFormatting>
  <conditionalFormatting sqref="P143">
    <cfRule type="cellIs" dxfId="2730" priority="191" stopIfTrue="1" operator="equal">
      <formula>"INPUT STARTER IN COLUMN D"</formula>
    </cfRule>
  </conditionalFormatting>
  <conditionalFormatting sqref="P144">
    <cfRule type="cellIs" dxfId="2729" priority="190" stopIfTrue="1" operator="equal">
      <formula>"INPUT STARTER IN COLUMN D"</formula>
    </cfRule>
  </conditionalFormatting>
  <conditionalFormatting sqref="P145">
    <cfRule type="cellIs" dxfId="2728" priority="189" stopIfTrue="1" operator="equal">
      <formula>"INPUT STARTER IN COLUMN D"</formula>
    </cfRule>
  </conditionalFormatting>
  <conditionalFormatting sqref="P146">
    <cfRule type="cellIs" dxfId="2727" priority="188" stopIfTrue="1" operator="equal">
      <formula>"INPUT STARTER IN COLUMN D"</formula>
    </cfRule>
  </conditionalFormatting>
  <conditionalFormatting sqref="P147">
    <cfRule type="cellIs" dxfId="2726" priority="187" stopIfTrue="1" operator="equal">
      <formula>"INPUT STARTER IN COLUMN D"</formula>
    </cfRule>
  </conditionalFormatting>
  <conditionalFormatting sqref="P148">
    <cfRule type="cellIs" dxfId="2725" priority="186" stopIfTrue="1" operator="equal">
      <formula>"INPUT STARTER IN COLUMN D"</formula>
    </cfRule>
  </conditionalFormatting>
  <conditionalFormatting sqref="P149">
    <cfRule type="cellIs" dxfId="2724" priority="185" stopIfTrue="1" operator="equal">
      <formula>"INPUT STARTER IN COLUMN D"</formula>
    </cfRule>
  </conditionalFormatting>
  <conditionalFormatting sqref="P150">
    <cfRule type="cellIs" dxfId="2723" priority="184" stopIfTrue="1" operator="equal">
      <formula>"INPUT STARTER IN COLUMN D"</formula>
    </cfRule>
  </conditionalFormatting>
  <conditionalFormatting sqref="P151">
    <cfRule type="cellIs" dxfId="2722" priority="183" stopIfTrue="1" operator="equal">
      <formula>"INPUT STARTER IN COLUMN D"</formula>
    </cfRule>
  </conditionalFormatting>
  <conditionalFormatting sqref="P152">
    <cfRule type="cellIs" dxfId="2721" priority="182" stopIfTrue="1" operator="equal">
      <formula>"INPUT STARTER IN COLUMN D"</formula>
    </cfRule>
  </conditionalFormatting>
  <conditionalFormatting sqref="P153">
    <cfRule type="cellIs" dxfId="2720" priority="181" stopIfTrue="1" operator="equal">
      <formula>"INPUT STARTER IN COLUMN D"</formula>
    </cfRule>
  </conditionalFormatting>
  <conditionalFormatting sqref="P154">
    <cfRule type="cellIs" dxfId="2719" priority="180" stopIfTrue="1" operator="equal">
      <formula>"INPUT STARTER IN COLUMN D"</formula>
    </cfRule>
  </conditionalFormatting>
  <conditionalFormatting sqref="P155">
    <cfRule type="cellIs" dxfId="2718" priority="179" stopIfTrue="1" operator="equal">
      <formula>"INPUT STARTER IN COLUMN D"</formula>
    </cfRule>
  </conditionalFormatting>
  <conditionalFormatting sqref="P157">
    <cfRule type="cellIs" dxfId="2717" priority="178" stopIfTrue="1" operator="equal">
      <formula>"INPUT STARTER IN COLUMN D"</formula>
    </cfRule>
  </conditionalFormatting>
  <conditionalFormatting sqref="P158">
    <cfRule type="cellIs" dxfId="2716" priority="177" stopIfTrue="1" operator="equal">
      <formula>"INPUT STARTER IN COLUMN D"</formula>
    </cfRule>
  </conditionalFormatting>
  <conditionalFormatting sqref="P159">
    <cfRule type="cellIs" dxfId="2715" priority="176" stopIfTrue="1" operator="equal">
      <formula>"INPUT STARTER IN COLUMN D"</formula>
    </cfRule>
  </conditionalFormatting>
  <conditionalFormatting sqref="P160">
    <cfRule type="cellIs" dxfId="2714" priority="175" stopIfTrue="1" operator="equal">
      <formula>"INPUT STARTER IN COLUMN D"</formula>
    </cfRule>
  </conditionalFormatting>
  <conditionalFormatting sqref="P161">
    <cfRule type="cellIs" dxfId="2713" priority="174" stopIfTrue="1" operator="equal">
      <formula>"INPUT STARTER IN COLUMN D"</formula>
    </cfRule>
  </conditionalFormatting>
  <conditionalFormatting sqref="P162">
    <cfRule type="cellIs" dxfId="2712" priority="173" stopIfTrue="1" operator="equal">
      <formula>"INPUT STARTER IN COLUMN D"</formula>
    </cfRule>
  </conditionalFormatting>
  <conditionalFormatting sqref="P163">
    <cfRule type="cellIs" dxfId="2711" priority="172" stopIfTrue="1" operator="equal">
      <formula>"INPUT STARTER IN COLUMN D"</formula>
    </cfRule>
  </conditionalFormatting>
  <conditionalFormatting sqref="P165">
    <cfRule type="cellIs" dxfId="2710" priority="171" stopIfTrue="1" operator="equal">
      <formula>"INPUT STARTER IN COLUMN D"</formula>
    </cfRule>
  </conditionalFormatting>
  <conditionalFormatting sqref="P166">
    <cfRule type="cellIs" dxfId="2709" priority="170" stopIfTrue="1" operator="equal">
      <formula>"INPUT STARTER IN COLUMN D"</formula>
    </cfRule>
  </conditionalFormatting>
  <conditionalFormatting sqref="P167">
    <cfRule type="cellIs" dxfId="2708" priority="169" stopIfTrue="1" operator="equal">
      <formula>"INPUT STARTER IN COLUMN D"</formula>
    </cfRule>
  </conditionalFormatting>
  <conditionalFormatting sqref="P168">
    <cfRule type="cellIs" dxfId="2707" priority="168" stopIfTrue="1" operator="equal">
      <formula>"INPUT STARTER IN COLUMN D"</formula>
    </cfRule>
  </conditionalFormatting>
  <conditionalFormatting sqref="P169">
    <cfRule type="cellIs" dxfId="2706" priority="167" stopIfTrue="1" operator="equal">
      <formula>"INPUT STARTER IN COLUMN D"</formula>
    </cfRule>
  </conditionalFormatting>
  <conditionalFormatting sqref="P170">
    <cfRule type="cellIs" dxfId="2705" priority="166" stopIfTrue="1" operator="equal">
      <formula>"INPUT STARTER IN COLUMN D"</formula>
    </cfRule>
  </conditionalFormatting>
  <conditionalFormatting sqref="P171">
    <cfRule type="cellIs" dxfId="2704" priority="165" stopIfTrue="1" operator="equal">
      <formula>"INPUT STARTER IN COLUMN D"</formula>
    </cfRule>
  </conditionalFormatting>
  <conditionalFormatting sqref="P172">
    <cfRule type="cellIs" dxfId="2703" priority="164" stopIfTrue="1" operator="equal">
      <formula>"INPUT STARTER IN COLUMN D"</formula>
    </cfRule>
  </conditionalFormatting>
  <conditionalFormatting sqref="P173">
    <cfRule type="cellIs" dxfId="2702" priority="163" stopIfTrue="1" operator="equal">
      <formula>"INPUT STARTER IN COLUMN D"</formula>
    </cfRule>
  </conditionalFormatting>
  <conditionalFormatting sqref="P174">
    <cfRule type="cellIs" dxfId="2701" priority="162" stopIfTrue="1" operator="equal">
      <formula>"INPUT STARTER IN COLUMN D"</formula>
    </cfRule>
  </conditionalFormatting>
  <conditionalFormatting sqref="P176">
    <cfRule type="cellIs" dxfId="2700" priority="161" stopIfTrue="1" operator="equal">
      <formula>"INPUT STARTER IN COLUMN D"</formula>
    </cfRule>
  </conditionalFormatting>
  <conditionalFormatting sqref="P177">
    <cfRule type="cellIs" dxfId="2699" priority="160" stopIfTrue="1" operator="equal">
      <formula>"INPUT STARTER IN COLUMN D"</formula>
    </cfRule>
  </conditionalFormatting>
  <conditionalFormatting sqref="P178">
    <cfRule type="cellIs" dxfId="2698" priority="159" stopIfTrue="1" operator="equal">
      <formula>"INPUT STARTER IN COLUMN D"</formula>
    </cfRule>
  </conditionalFormatting>
  <conditionalFormatting sqref="P179">
    <cfRule type="cellIs" dxfId="2697" priority="158" stopIfTrue="1" operator="equal">
      <formula>"INPUT STARTER IN COLUMN D"</formula>
    </cfRule>
  </conditionalFormatting>
  <conditionalFormatting sqref="P180">
    <cfRule type="cellIs" dxfId="2696" priority="157" stopIfTrue="1" operator="equal">
      <formula>"INPUT STARTER IN COLUMN D"</formula>
    </cfRule>
  </conditionalFormatting>
  <conditionalFormatting sqref="P181">
    <cfRule type="cellIs" dxfId="2695" priority="156" stopIfTrue="1" operator="equal">
      <formula>"INPUT STARTER IN COLUMN D"</formula>
    </cfRule>
  </conditionalFormatting>
  <conditionalFormatting sqref="P182">
    <cfRule type="cellIs" dxfId="2694" priority="155" stopIfTrue="1" operator="equal">
      <formula>"INPUT STARTER IN COLUMN D"</formula>
    </cfRule>
  </conditionalFormatting>
  <conditionalFormatting sqref="P183">
    <cfRule type="cellIs" dxfId="2693" priority="154" stopIfTrue="1" operator="equal">
      <formula>"INPUT STARTER IN COLUMN D"</formula>
    </cfRule>
  </conditionalFormatting>
  <conditionalFormatting sqref="P184">
    <cfRule type="cellIs" dxfId="2692" priority="153" stopIfTrue="1" operator="equal">
      <formula>"INPUT STARTER IN COLUMN D"</formula>
    </cfRule>
  </conditionalFormatting>
  <conditionalFormatting sqref="P185">
    <cfRule type="cellIs" dxfId="2691" priority="152" stopIfTrue="1" operator="equal">
      <formula>"INPUT STARTER IN COLUMN D"</formula>
    </cfRule>
  </conditionalFormatting>
  <conditionalFormatting sqref="AK3:AK22">
    <cfRule type="cellIs" dxfId="2690" priority="151" stopIfTrue="1" operator="equal">
      <formula>"must average at least 5 innings per start"</formula>
    </cfRule>
  </conditionalFormatting>
  <conditionalFormatting sqref="AK23">
    <cfRule type="cellIs" dxfId="2689" priority="150" stopIfTrue="1" operator="equal">
      <formula>"must have 162 starts"</formula>
    </cfRule>
  </conditionalFormatting>
  <conditionalFormatting sqref="AH3:AH22">
    <cfRule type="cellIs" dxfId="2688" priority="149" stopIfTrue="1" operator="equal">
      <formula>"must average at least 5 innings per start"</formula>
    </cfRule>
  </conditionalFormatting>
  <conditionalFormatting sqref="AH23">
    <cfRule type="cellIs" dxfId="2687" priority="148" stopIfTrue="1" operator="equal">
      <formula>"must have 162 starts"</formula>
    </cfRule>
  </conditionalFormatting>
  <conditionalFormatting sqref="AG3:AG22">
    <cfRule type="cellIs" dxfId="2686" priority="147" stopIfTrue="1" operator="equal">
      <formula>"must average at least 5 innings per start"</formula>
    </cfRule>
  </conditionalFormatting>
  <conditionalFormatting sqref="AG23">
    <cfRule type="cellIs" dxfId="2685" priority="146" stopIfTrue="1" operator="equal">
      <formula>"must have 162 starts"</formula>
    </cfRule>
  </conditionalFormatting>
  <conditionalFormatting sqref="AK3:AK22">
    <cfRule type="cellIs" dxfId="2684" priority="145" stopIfTrue="1" operator="equal">
      <formula>"must average at least 5 innings per start"</formula>
    </cfRule>
  </conditionalFormatting>
  <conditionalFormatting sqref="AK23">
    <cfRule type="cellIs" dxfId="2683" priority="144" stopIfTrue="1" operator="equal">
      <formula>"must have 162 starts"</formula>
    </cfRule>
  </conditionalFormatting>
  <conditionalFormatting sqref="AH3:AH22">
    <cfRule type="cellIs" dxfId="2682" priority="143" stopIfTrue="1" operator="equal">
      <formula>"must average at least 5 innings per start"</formula>
    </cfRule>
  </conditionalFormatting>
  <conditionalFormatting sqref="AH23">
    <cfRule type="cellIs" dxfId="2681" priority="142" stopIfTrue="1" operator="equal">
      <formula>"must have 162 starts"</formula>
    </cfRule>
  </conditionalFormatting>
  <conditionalFormatting sqref="AG3:AG22">
    <cfRule type="cellIs" dxfId="2680" priority="141" stopIfTrue="1" operator="equal">
      <formula>"must average at least 5 innings per start"</formula>
    </cfRule>
  </conditionalFormatting>
  <conditionalFormatting sqref="AG23">
    <cfRule type="cellIs" dxfId="2679" priority="140" stopIfTrue="1" operator="equal">
      <formula>"must have 162 starts"</formula>
    </cfRule>
  </conditionalFormatting>
  <conditionalFormatting sqref="AK3:AK22">
    <cfRule type="cellIs" dxfId="2678" priority="139" stopIfTrue="1" operator="equal">
      <formula>"must average at least 5 innings per start"</formula>
    </cfRule>
  </conditionalFormatting>
  <conditionalFormatting sqref="AK23">
    <cfRule type="cellIs" dxfId="2677" priority="138" stopIfTrue="1" operator="equal">
      <formula>"must have 162 starts"</formula>
    </cfRule>
  </conditionalFormatting>
  <conditionalFormatting sqref="AH3:AH22">
    <cfRule type="cellIs" dxfId="2676" priority="137" stopIfTrue="1" operator="equal">
      <formula>"must average at least 5 innings per start"</formula>
    </cfRule>
  </conditionalFormatting>
  <conditionalFormatting sqref="AH23">
    <cfRule type="cellIs" dxfId="2675" priority="136" stopIfTrue="1" operator="equal">
      <formula>"must have 162 starts"</formula>
    </cfRule>
  </conditionalFormatting>
  <conditionalFormatting sqref="AG3:AG22">
    <cfRule type="cellIs" dxfId="2674" priority="135" stopIfTrue="1" operator="equal">
      <formula>"must average at least 5 innings per start"</formula>
    </cfRule>
  </conditionalFormatting>
  <conditionalFormatting sqref="AG23">
    <cfRule type="cellIs" dxfId="2673" priority="134" stopIfTrue="1" operator="equal">
      <formula>"must have 162 starts"</formula>
    </cfRule>
  </conditionalFormatting>
  <conditionalFormatting sqref="AK3:AK22">
    <cfRule type="cellIs" dxfId="2672" priority="133" stopIfTrue="1" operator="equal">
      <formula>"must average at least 5 innings per start"</formula>
    </cfRule>
  </conditionalFormatting>
  <conditionalFormatting sqref="AK23">
    <cfRule type="cellIs" dxfId="2671" priority="132" stopIfTrue="1" operator="equal">
      <formula>"must have 162 starts"</formula>
    </cfRule>
  </conditionalFormatting>
  <conditionalFormatting sqref="AH3:AH22">
    <cfRule type="cellIs" dxfId="2670" priority="131" stopIfTrue="1" operator="equal">
      <formula>"must average at least 5 innings per start"</formula>
    </cfRule>
  </conditionalFormatting>
  <conditionalFormatting sqref="AH23">
    <cfRule type="cellIs" dxfId="2669" priority="130" stopIfTrue="1" operator="equal">
      <formula>"must have 162 starts"</formula>
    </cfRule>
  </conditionalFormatting>
  <conditionalFormatting sqref="AG3:AG22">
    <cfRule type="cellIs" dxfId="2668" priority="129" stopIfTrue="1" operator="equal">
      <formula>"must average at least 5 innings per start"</formula>
    </cfRule>
  </conditionalFormatting>
  <conditionalFormatting sqref="AG23">
    <cfRule type="cellIs" dxfId="2667" priority="128" stopIfTrue="1" operator="equal">
      <formula>"must have 162 starts"</formula>
    </cfRule>
  </conditionalFormatting>
  <conditionalFormatting sqref="AK3:AK22">
    <cfRule type="cellIs" dxfId="2666" priority="127" stopIfTrue="1" operator="equal">
      <formula>"must average at least 5 innings per start"</formula>
    </cfRule>
  </conditionalFormatting>
  <conditionalFormatting sqref="AK23">
    <cfRule type="cellIs" dxfId="2665" priority="126" stopIfTrue="1" operator="equal">
      <formula>"must have 162 starts"</formula>
    </cfRule>
  </conditionalFormatting>
  <conditionalFormatting sqref="AH3:AH22">
    <cfRule type="cellIs" dxfId="2664" priority="125" stopIfTrue="1" operator="equal">
      <formula>"must average at least 5 innings per start"</formula>
    </cfRule>
  </conditionalFormatting>
  <conditionalFormatting sqref="AH23">
    <cfRule type="cellIs" dxfId="2663" priority="124" stopIfTrue="1" operator="equal">
      <formula>"must have 162 starts"</formula>
    </cfRule>
  </conditionalFormatting>
  <conditionalFormatting sqref="AG3:AG22">
    <cfRule type="cellIs" dxfId="2662" priority="123" stopIfTrue="1" operator="equal">
      <formula>"must average at least 5 innings per start"</formula>
    </cfRule>
  </conditionalFormatting>
  <conditionalFormatting sqref="AG23">
    <cfRule type="cellIs" dxfId="2661" priority="122" stopIfTrue="1" operator="equal">
      <formula>"must have 162 starts"</formula>
    </cfRule>
  </conditionalFormatting>
  <conditionalFormatting sqref="AK3:AK22">
    <cfRule type="cellIs" dxfId="2660" priority="121" stopIfTrue="1" operator="equal">
      <formula>"must average at least 5 innings per start"</formula>
    </cfRule>
  </conditionalFormatting>
  <conditionalFormatting sqref="AK23">
    <cfRule type="cellIs" dxfId="2659" priority="120" stopIfTrue="1" operator="equal">
      <formula>"must have 162 starts"</formula>
    </cfRule>
  </conditionalFormatting>
  <conditionalFormatting sqref="AH3:AH22">
    <cfRule type="cellIs" dxfId="2658" priority="119" stopIfTrue="1" operator="equal">
      <formula>"must average at least 5 innings per start"</formula>
    </cfRule>
  </conditionalFormatting>
  <conditionalFormatting sqref="AH23">
    <cfRule type="cellIs" dxfId="2657" priority="118" stopIfTrue="1" operator="equal">
      <formula>"must have 162 starts"</formula>
    </cfRule>
  </conditionalFormatting>
  <conditionalFormatting sqref="AG3:AG22">
    <cfRule type="cellIs" dxfId="2656" priority="117" stopIfTrue="1" operator="equal">
      <formula>"must average at least 5 innings per start"</formula>
    </cfRule>
  </conditionalFormatting>
  <conditionalFormatting sqref="AG23">
    <cfRule type="cellIs" dxfId="2655" priority="116" stopIfTrue="1" operator="equal">
      <formula>"must have 162 starts"</formula>
    </cfRule>
  </conditionalFormatting>
  <conditionalFormatting sqref="AK3:AK22">
    <cfRule type="cellIs" dxfId="2654" priority="115" stopIfTrue="1" operator="equal">
      <formula>"must average at least 5 innings per start"</formula>
    </cfRule>
  </conditionalFormatting>
  <conditionalFormatting sqref="AK23">
    <cfRule type="cellIs" dxfId="2653" priority="114" stopIfTrue="1" operator="equal">
      <formula>"must have 162 starts"</formula>
    </cfRule>
  </conditionalFormatting>
  <conditionalFormatting sqref="AH3:AH22">
    <cfRule type="cellIs" dxfId="2652" priority="113" stopIfTrue="1" operator="equal">
      <formula>"must average at least 5 innings per start"</formula>
    </cfRule>
  </conditionalFormatting>
  <conditionalFormatting sqref="AH23">
    <cfRule type="cellIs" dxfId="2651" priority="112" stopIfTrue="1" operator="equal">
      <formula>"must have 162 starts"</formula>
    </cfRule>
  </conditionalFormatting>
  <conditionalFormatting sqref="AG3:AG22">
    <cfRule type="cellIs" dxfId="2650" priority="111" stopIfTrue="1" operator="equal">
      <formula>"must average at least 5 innings per start"</formula>
    </cfRule>
  </conditionalFormatting>
  <conditionalFormatting sqref="AG23">
    <cfRule type="cellIs" dxfId="2649" priority="110" stopIfTrue="1" operator="equal">
      <formula>"must have 162 starts"</formula>
    </cfRule>
  </conditionalFormatting>
  <conditionalFormatting sqref="AK3:AK22">
    <cfRule type="cellIs" dxfId="2648" priority="109" stopIfTrue="1" operator="equal">
      <formula>"must average at least 5 innings per start"</formula>
    </cfRule>
  </conditionalFormatting>
  <conditionalFormatting sqref="AK23">
    <cfRule type="cellIs" dxfId="2647" priority="108" stopIfTrue="1" operator="equal">
      <formula>"must have 162 starts"</formula>
    </cfRule>
  </conditionalFormatting>
  <conditionalFormatting sqref="AH3:AH22">
    <cfRule type="cellIs" dxfId="2646" priority="107" stopIfTrue="1" operator="equal">
      <formula>"must average at least 5 innings per start"</formula>
    </cfRule>
  </conditionalFormatting>
  <conditionalFormatting sqref="AH23">
    <cfRule type="cellIs" dxfId="2645" priority="106" stopIfTrue="1" operator="equal">
      <formula>"must have 162 starts"</formula>
    </cfRule>
  </conditionalFormatting>
  <conditionalFormatting sqref="AG3:AG22">
    <cfRule type="cellIs" dxfId="2644" priority="105" stopIfTrue="1" operator="equal">
      <formula>"must average at least 5 innings per start"</formula>
    </cfRule>
  </conditionalFormatting>
  <conditionalFormatting sqref="AG23">
    <cfRule type="cellIs" dxfId="2643" priority="104" stopIfTrue="1" operator="equal">
      <formula>"must have 162 starts"</formula>
    </cfRule>
  </conditionalFormatting>
  <conditionalFormatting sqref="AG3:AG22">
    <cfRule type="cellIs" dxfId="2642" priority="103" stopIfTrue="1" operator="equal">
      <formula>"must average at least 5 innings per start"</formula>
    </cfRule>
  </conditionalFormatting>
  <conditionalFormatting sqref="AG23">
    <cfRule type="cellIs" dxfId="2641" priority="102" stopIfTrue="1" operator="equal">
      <formula>"must have 162 starts"</formula>
    </cfRule>
  </conditionalFormatting>
  <conditionalFormatting sqref="AK3:AK22">
    <cfRule type="cellIs" dxfId="2640" priority="101" stopIfTrue="1" operator="equal">
      <formula>"must average at least 5 innings per start"</formula>
    </cfRule>
  </conditionalFormatting>
  <conditionalFormatting sqref="AK23">
    <cfRule type="cellIs" dxfId="2639" priority="100" stopIfTrue="1" operator="equal">
      <formula>"must have 162 starts"</formula>
    </cfRule>
  </conditionalFormatting>
  <conditionalFormatting sqref="AK3:AK22">
    <cfRule type="cellIs" dxfId="2638" priority="99" stopIfTrue="1" operator="equal">
      <formula>"must average at least 5 innings per start"</formula>
    </cfRule>
  </conditionalFormatting>
  <conditionalFormatting sqref="AK23">
    <cfRule type="cellIs" dxfId="2637" priority="98" stopIfTrue="1" operator="equal">
      <formula>"must have 162 starts"</formula>
    </cfRule>
  </conditionalFormatting>
  <conditionalFormatting sqref="AK3:AK22">
    <cfRule type="cellIs" dxfId="2636" priority="97" stopIfTrue="1" operator="equal">
      <formula>"must average at least 5 innings per start"</formula>
    </cfRule>
  </conditionalFormatting>
  <conditionalFormatting sqref="AK23">
    <cfRule type="cellIs" dxfId="2635" priority="96" stopIfTrue="1" operator="equal">
      <formula>"must have 162 starts"</formula>
    </cfRule>
  </conditionalFormatting>
  <conditionalFormatting sqref="AK3:AK22">
    <cfRule type="cellIs" dxfId="2634" priority="95" stopIfTrue="1" operator="equal">
      <formula>"must average at least 5 innings per start"</formula>
    </cfRule>
  </conditionalFormatting>
  <conditionalFormatting sqref="AK23">
    <cfRule type="cellIs" dxfId="2633" priority="94" stopIfTrue="1" operator="equal">
      <formula>"must have 162 starts"</formula>
    </cfRule>
  </conditionalFormatting>
  <conditionalFormatting sqref="AK3:AK22">
    <cfRule type="cellIs" dxfId="2632" priority="93" stopIfTrue="1" operator="equal">
      <formula>"must average at least 5 innings per start"</formula>
    </cfRule>
  </conditionalFormatting>
  <conditionalFormatting sqref="AK23">
    <cfRule type="cellIs" dxfId="2631" priority="92" stopIfTrue="1" operator="equal">
      <formula>"must have 162 starts"</formula>
    </cfRule>
  </conditionalFormatting>
  <conditionalFormatting sqref="AK3:AK22">
    <cfRule type="cellIs" dxfId="2630" priority="91" stopIfTrue="1" operator="equal">
      <formula>"must average at least 5 innings per start"</formula>
    </cfRule>
  </conditionalFormatting>
  <conditionalFormatting sqref="AK23">
    <cfRule type="cellIs" dxfId="2629" priority="90" stopIfTrue="1" operator="equal">
      <formula>"must have 162 starts"</formula>
    </cfRule>
  </conditionalFormatting>
  <conditionalFormatting sqref="AK3:AK22">
    <cfRule type="cellIs" dxfId="2628" priority="89" stopIfTrue="1" operator="equal">
      <formula>"must average at least 5 innings per start"</formula>
    </cfRule>
  </conditionalFormatting>
  <conditionalFormatting sqref="AK23">
    <cfRule type="cellIs" dxfId="2627" priority="88" stopIfTrue="1" operator="equal">
      <formula>"must have 162 starts"</formula>
    </cfRule>
  </conditionalFormatting>
  <conditionalFormatting sqref="AH3:AH22">
    <cfRule type="cellIs" dxfId="2626" priority="87" stopIfTrue="1" operator="equal">
      <formula>"must average at least 5 innings per start"</formula>
    </cfRule>
  </conditionalFormatting>
  <conditionalFormatting sqref="AH23">
    <cfRule type="cellIs" dxfId="2625" priority="86" stopIfTrue="1" operator="equal">
      <formula>"must have 162 starts"</formula>
    </cfRule>
  </conditionalFormatting>
  <conditionalFormatting sqref="AG3:AG22">
    <cfRule type="cellIs" dxfId="2624" priority="85" stopIfTrue="1" operator="equal">
      <formula>"must average at least 5 innings per start"</formula>
    </cfRule>
  </conditionalFormatting>
  <conditionalFormatting sqref="AG23">
    <cfRule type="cellIs" dxfId="2623" priority="84" stopIfTrue="1" operator="equal">
      <formula>"must have 162 starts"</formula>
    </cfRule>
  </conditionalFormatting>
  <conditionalFormatting sqref="AK3:AK22">
    <cfRule type="cellIs" dxfId="2622" priority="83" stopIfTrue="1" operator="equal">
      <formula>"must average at least 5 innings per start"</formula>
    </cfRule>
  </conditionalFormatting>
  <conditionalFormatting sqref="AK23">
    <cfRule type="cellIs" dxfId="2621" priority="82" stopIfTrue="1" operator="equal">
      <formula>"must have 162 starts"</formula>
    </cfRule>
  </conditionalFormatting>
  <conditionalFormatting sqref="AK3:AK22">
    <cfRule type="cellIs" dxfId="2620" priority="81" stopIfTrue="1" operator="equal">
      <formula>"must average at least 5 innings per start"</formula>
    </cfRule>
  </conditionalFormatting>
  <conditionalFormatting sqref="AK23">
    <cfRule type="cellIs" dxfId="2619" priority="80" stopIfTrue="1" operator="equal">
      <formula>"must have 162 starts"</formula>
    </cfRule>
  </conditionalFormatting>
  <conditionalFormatting sqref="AK3:AK22">
    <cfRule type="cellIs" dxfId="2618" priority="79" stopIfTrue="1" operator="equal">
      <formula>"must average at least 5 innings per start"</formula>
    </cfRule>
  </conditionalFormatting>
  <conditionalFormatting sqref="AK23">
    <cfRule type="cellIs" dxfId="2617" priority="78" stopIfTrue="1" operator="equal">
      <formula>"must have 162 starts"</formula>
    </cfRule>
  </conditionalFormatting>
  <conditionalFormatting sqref="AK3:AK22">
    <cfRule type="cellIs" dxfId="2616" priority="77" stopIfTrue="1" operator="equal">
      <formula>"must average at least 5 innings per start"</formula>
    </cfRule>
  </conditionalFormatting>
  <conditionalFormatting sqref="AK23">
    <cfRule type="cellIs" dxfId="2615" priority="76" stopIfTrue="1" operator="equal">
      <formula>"must have 162 starts"</formula>
    </cfRule>
  </conditionalFormatting>
  <conditionalFormatting sqref="AK3:AK22">
    <cfRule type="cellIs" dxfId="2614" priority="75" stopIfTrue="1" operator="equal">
      <formula>"must average at least 5 innings per start"</formula>
    </cfRule>
  </conditionalFormatting>
  <conditionalFormatting sqref="AK23">
    <cfRule type="cellIs" dxfId="2613" priority="74" stopIfTrue="1" operator="equal">
      <formula>"must have 162 starts"</formula>
    </cfRule>
  </conditionalFormatting>
  <conditionalFormatting sqref="AK3:AK22">
    <cfRule type="cellIs" dxfId="2612" priority="73" stopIfTrue="1" operator="equal">
      <formula>"must average at least 5 innings per start"</formula>
    </cfRule>
  </conditionalFormatting>
  <conditionalFormatting sqref="AK23">
    <cfRule type="cellIs" dxfId="2611" priority="72" stopIfTrue="1" operator="equal">
      <formula>"must have 162 starts"</formula>
    </cfRule>
  </conditionalFormatting>
  <conditionalFormatting sqref="AK3:AK22">
    <cfRule type="cellIs" dxfId="2610" priority="71" stopIfTrue="1" operator="equal">
      <formula>"must average at least 5 innings per start"</formula>
    </cfRule>
  </conditionalFormatting>
  <conditionalFormatting sqref="AK23">
    <cfRule type="cellIs" dxfId="2609" priority="70" stopIfTrue="1" operator="equal">
      <formula>"must have 162 starts"</formula>
    </cfRule>
  </conditionalFormatting>
  <conditionalFormatting sqref="AK3:AK22">
    <cfRule type="cellIs" dxfId="2608" priority="69" stopIfTrue="1" operator="equal">
      <formula>"must average at least 5 innings per start"</formula>
    </cfRule>
  </conditionalFormatting>
  <conditionalFormatting sqref="AK23">
    <cfRule type="cellIs" dxfId="2607" priority="68" stopIfTrue="1" operator="equal">
      <formula>"must have 162 starts"</formula>
    </cfRule>
  </conditionalFormatting>
  <conditionalFormatting sqref="AG3:AG22">
    <cfRule type="cellIs" dxfId="2606" priority="67" stopIfTrue="1" operator="equal">
      <formula>"must average at least 5 innings per start"</formula>
    </cfRule>
  </conditionalFormatting>
  <conditionalFormatting sqref="AG23">
    <cfRule type="cellIs" dxfId="2605" priority="66" stopIfTrue="1" operator="equal">
      <formula>"must have 162 starts"</formula>
    </cfRule>
  </conditionalFormatting>
  <conditionalFormatting sqref="AK3:AK22">
    <cfRule type="cellIs" dxfId="2604" priority="65" stopIfTrue="1" operator="equal">
      <formula>"must average at least 5 innings per start"</formula>
    </cfRule>
  </conditionalFormatting>
  <conditionalFormatting sqref="AK23">
    <cfRule type="cellIs" dxfId="2603" priority="64" stopIfTrue="1" operator="equal">
      <formula>"must have 162 starts"</formula>
    </cfRule>
  </conditionalFormatting>
  <conditionalFormatting sqref="AK3:AK22">
    <cfRule type="cellIs" dxfId="2602" priority="63" stopIfTrue="1" operator="equal">
      <formula>"must average at least 5 innings per start"</formula>
    </cfRule>
  </conditionalFormatting>
  <conditionalFormatting sqref="AK23">
    <cfRule type="cellIs" dxfId="2601" priority="62" stopIfTrue="1" operator="equal">
      <formula>"must have 162 starts"</formula>
    </cfRule>
  </conditionalFormatting>
  <conditionalFormatting sqref="AK3:AK22">
    <cfRule type="cellIs" dxfId="2600" priority="61" stopIfTrue="1" operator="equal">
      <formula>"must average at least 5 innings per start"</formula>
    </cfRule>
  </conditionalFormatting>
  <conditionalFormatting sqref="AK23">
    <cfRule type="cellIs" dxfId="2599" priority="60" stopIfTrue="1" operator="equal">
      <formula>"must have 162 starts"</formula>
    </cfRule>
  </conditionalFormatting>
  <conditionalFormatting sqref="AK3:AK22">
    <cfRule type="cellIs" dxfId="2598" priority="59" stopIfTrue="1" operator="equal">
      <formula>"must average at least 5 innings per start"</formula>
    </cfRule>
  </conditionalFormatting>
  <conditionalFormatting sqref="AK23">
    <cfRule type="cellIs" dxfId="2597" priority="58" stopIfTrue="1" operator="equal">
      <formula>"must have 162 starts"</formula>
    </cfRule>
  </conditionalFormatting>
  <conditionalFormatting sqref="AK3:AK22">
    <cfRule type="cellIs" dxfId="2596" priority="57" stopIfTrue="1" operator="equal">
      <formula>"must average at least 5 innings per start"</formula>
    </cfRule>
  </conditionalFormatting>
  <conditionalFormatting sqref="AK23">
    <cfRule type="cellIs" dxfId="2595" priority="56" stopIfTrue="1" operator="equal">
      <formula>"must have 162 starts"</formula>
    </cfRule>
  </conditionalFormatting>
  <conditionalFormatting sqref="AK3:AK22">
    <cfRule type="cellIs" dxfId="2594" priority="55" stopIfTrue="1" operator="equal">
      <formula>"must average at least 5 innings per start"</formula>
    </cfRule>
  </conditionalFormatting>
  <conditionalFormatting sqref="AK23">
    <cfRule type="cellIs" dxfId="2593" priority="54" stopIfTrue="1" operator="equal">
      <formula>"must have 162 starts"</formula>
    </cfRule>
  </conditionalFormatting>
  <conditionalFormatting sqref="AK3:AK22">
    <cfRule type="cellIs" dxfId="2592" priority="53" stopIfTrue="1" operator="equal">
      <formula>"must average at least 5 innings per start"</formula>
    </cfRule>
  </conditionalFormatting>
  <conditionalFormatting sqref="AK23">
    <cfRule type="cellIs" dxfId="2591" priority="52" stopIfTrue="1" operator="equal">
      <formula>"must have 162 starts"</formula>
    </cfRule>
  </conditionalFormatting>
  <conditionalFormatting sqref="AG3:AG22">
    <cfRule type="cellIs" dxfId="2590" priority="51" stopIfTrue="1" operator="equal">
      <formula>"must average at least 5 innings per start"</formula>
    </cfRule>
  </conditionalFormatting>
  <conditionalFormatting sqref="AG23">
    <cfRule type="cellIs" dxfId="2589" priority="50" stopIfTrue="1" operator="equal">
      <formula>"must have 162 starts"</formula>
    </cfRule>
  </conditionalFormatting>
  <conditionalFormatting sqref="AK3:AK22">
    <cfRule type="cellIs" dxfId="2588" priority="49" stopIfTrue="1" operator="equal">
      <formula>"must average at least 5 innings per start"</formula>
    </cfRule>
  </conditionalFormatting>
  <conditionalFormatting sqref="AK23">
    <cfRule type="cellIs" dxfId="2587" priority="48" stopIfTrue="1" operator="equal">
      <formula>"must have 162 starts"</formula>
    </cfRule>
  </conditionalFormatting>
  <conditionalFormatting sqref="AK3:AK22">
    <cfRule type="cellIs" dxfId="2586" priority="47" stopIfTrue="1" operator="equal">
      <formula>"must average at least 5 innings per start"</formula>
    </cfRule>
  </conditionalFormatting>
  <conditionalFormatting sqref="AK23">
    <cfRule type="cellIs" dxfId="2585" priority="46" stopIfTrue="1" operator="equal">
      <formula>"must have 162 starts"</formula>
    </cfRule>
  </conditionalFormatting>
  <conditionalFormatting sqref="AK3:AK22">
    <cfRule type="cellIs" dxfId="2584" priority="45" stopIfTrue="1" operator="equal">
      <formula>"must average at least 5 innings per start"</formula>
    </cfRule>
  </conditionalFormatting>
  <conditionalFormatting sqref="AK23">
    <cfRule type="cellIs" dxfId="2583" priority="44" stopIfTrue="1" operator="equal">
      <formula>"must have 162 starts"</formula>
    </cfRule>
  </conditionalFormatting>
  <conditionalFormatting sqref="AK3:AK22">
    <cfRule type="cellIs" dxfId="2582" priority="43" stopIfTrue="1" operator="equal">
      <formula>"must average at least 5 innings per start"</formula>
    </cfRule>
  </conditionalFormatting>
  <conditionalFormatting sqref="AK23">
    <cfRule type="cellIs" dxfId="2581" priority="42" stopIfTrue="1" operator="equal">
      <formula>"must have 162 starts"</formula>
    </cfRule>
  </conditionalFormatting>
  <conditionalFormatting sqref="AK3:AK22">
    <cfRule type="cellIs" dxfId="2580" priority="41" stopIfTrue="1" operator="equal">
      <formula>"must average at least 5 innings per start"</formula>
    </cfRule>
  </conditionalFormatting>
  <conditionalFormatting sqref="AK23">
    <cfRule type="cellIs" dxfId="2579" priority="40" stopIfTrue="1" operator="equal">
      <formula>"must have 162 starts"</formula>
    </cfRule>
  </conditionalFormatting>
  <conditionalFormatting sqref="AK3:AK22">
    <cfRule type="cellIs" dxfId="2578" priority="39" stopIfTrue="1" operator="equal">
      <formula>"must average at least 5 innings per start"</formula>
    </cfRule>
  </conditionalFormatting>
  <conditionalFormatting sqref="AK23">
    <cfRule type="cellIs" dxfId="2577" priority="38" stopIfTrue="1" operator="equal">
      <formula>"must have 162 starts"</formula>
    </cfRule>
  </conditionalFormatting>
  <conditionalFormatting sqref="AG3:AG22">
    <cfRule type="cellIs" dxfId="2576" priority="37" stopIfTrue="1" operator="equal">
      <formula>"must average at least 5 innings per start"</formula>
    </cfRule>
  </conditionalFormatting>
  <conditionalFormatting sqref="AG23">
    <cfRule type="cellIs" dxfId="2575" priority="36" stopIfTrue="1" operator="equal">
      <formula>"must have 162 starts"</formula>
    </cfRule>
  </conditionalFormatting>
  <conditionalFormatting sqref="AK3:AK22">
    <cfRule type="cellIs" dxfId="2574" priority="35" stopIfTrue="1" operator="equal">
      <formula>"must average at least 5 innings per start"</formula>
    </cfRule>
  </conditionalFormatting>
  <conditionalFormatting sqref="AK23">
    <cfRule type="cellIs" dxfId="2573" priority="34" stopIfTrue="1" operator="equal">
      <formula>"must have 162 starts"</formula>
    </cfRule>
  </conditionalFormatting>
  <conditionalFormatting sqref="AK3:AK22">
    <cfRule type="cellIs" dxfId="2572" priority="33" stopIfTrue="1" operator="equal">
      <formula>"must average at least 5 innings per start"</formula>
    </cfRule>
  </conditionalFormatting>
  <conditionalFormatting sqref="AK23">
    <cfRule type="cellIs" dxfId="2571" priority="32" stopIfTrue="1" operator="equal">
      <formula>"must have 162 starts"</formula>
    </cfRule>
  </conditionalFormatting>
  <conditionalFormatting sqref="AK3:AK22">
    <cfRule type="cellIs" dxfId="2570" priority="31" stopIfTrue="1" operator="equal">
      <formula>"must average at least 5 innings per start"</formula>
    </cfRule>
  </conditionalFormatting>
  <conditionalFormatting sqref="AK23">
    <cfRule type="cellIs" dxfId="2569" priority="30" stopIfTrue="1" operator="equal">
      <formula>"must have 162 starts"</formula>
    </cfRule>
  </conditionalFormatting>
  <conditionalFormatting sqref="AK3:AK22">
    <cfRule type="cellIs" dxfId="2568" priority="29" stopIfTrue="1" operator="equal">
      <formula>"must average at least 5 innings per start"</formula>
    </cfRule>
  </conditionalFormatting>
  <conditionalFormatting sqref="AK23">
    <cfRule type="cellIs" dxfId="2567" priority="28" stopIfTrue="1" operator="equal">
      <formula>"must have 162 starts"</formula>
    </cfRule>
  </conditionalFormatting>
  <conditionalFormatting sqref="AK3:AK22">
    <cfRule type="cellIs" dxfId="2566" priority="27" stopIfTrue="1" operator="equal">
      <formula>"must average at least 5 innings per start"</formula>
    </cfRule>
  </conditionalFormatting>
  <conditionalFormatting sqref="AK23">
    <cfRule type="cellIs" dxfId="2565" priority="26" stopIfTrue="1" operator="equal">
      <formula>"must have 162 starts"</formula>
    </cfRule>
  </conditionalFormatting>
  <conditionalFormatting sqref="AG3:AG22">
    <cfRule type="cellIs" dxfId="2564" priority="25" stopIfTrue="1" operator="equal">
      <formula>"must average at least 5 innings per start"</formula>
    </cfRule>
  </conditionalFormatting>
  <conditionalFormatting sqref="AG23">
    <cfRule type="cellIs" dxfId="2563" priority="24" stopIfTrue="1" operator="equal">
      <formula>"must have 162 starts"</formula>
    </cfRule>
  </conditionalFormatting>
  <conditionalFormatting sqref="AK3:AK22">
    <cfRule type="cellIs" dxfId="2562" priority="23" stopIfTrue="1" operator="equal">
      <formula>"must average at least 5 innings per start"</formula>
    </cfRule>
  </conditionalFormatting>
  <conditionalFormatting sqref="AK23">
    <cfRule type="cellIs" dxfId="2561" priority="22" stopIfTrue="1" operator="equal">
      <formula>"must have 162 starts"</formula>
    </cfRule>
  </conditionalFormatting>
  <conditionalFormatting sqref="AK3:AK22">
    <cfRule type="cellIs" dxfId="2560" priority="21" stopIfTrue="1" operator="equal">
      <formula>"must average at least 5 innings per start"</formula>
    </cfRule>
  </conditionalFormatting>
  <conditionalFormatting sqref="AK23">
    <cfRule type="cellIs" dxfId="2559" priority="20" stopIfTrue="1" operator="equal">
      <formula>"must have 162 starts"</formula>
    </cfRule>
  </conditionalFormatting>
  <conditionalFormatting sqref="AK3:AK22">
    <cfRule type="cellIs" dxfId="2558" priority="19" stopIfTrue="1" operator="equal">
      <formula>"must average at least 5 innings per start"</formula>
    </cfRule>
  </conditionalFormatting>
  <conditionalFormatting sqref="AK23">
    <cfRule type="cellIs" dxfId="2557" priority="18" stopIfTrue="1" operator="equal">
      <formula>"must have 162 starts"</formula>
    </cfRule>
  </conditionalFormatting>
  <conditionalFormatting sqref="AK3:AK22">
    <cfRule type="cellIs" dxfId="2556" priority="17" stopIfTrue="1" operator="equal">
      <formula>"must average at least 5 innings per start"</formula>
    </cfRule>
  </conditionalFormatting>
  <conditionalFormatting sqref="AK23">
    <cfRule type="cellIs" dxfId="2555" priority="16" stopIfTrue="1" operator="equal">
      <formula>"must have 162 starts"</formula>
    </cfRule>
  </conditionalFormatting>
  <conditionalFormatting sqref="AG3:AG22">
    <cfRule type="cellIs" dxfId="2554" priority="15" stopIfTrue="1" operator="equal">
      <formula>"must average at least 5 innings per start"</formula>
    </cfRule>
  </conditionalFormatting>
  <conditionalFormatting sqref="AG23">
    <cfRule type="cellIs" dxfId="2553" priority="14" stopIfTrue="1" operator="equal">
      <formula>"must have 162 starts"</formula>
    </cfRule>
  </conditionalFormatting>
  <conditionalFormatting sqref="AK3:AK22">
    <cfRule type="cellIs" dxfId="2552" priority="13" stopIfTrue="1" operator="equal">
      <formula>"must average at least 5 innings per start"</formula>
    </cfRule>
  </conditionalFormatting>
  <conditionalFormatting sqref="AK23">
    <cfRule type="cellIs" dxfId="2551" priority="12" stopIfTrue="1" operator="equal">
      <formula>"must have 162 starts"</formula>
    </cfRule>
  </conditionalFormatting>
  <conditionalFormatting sqref="AK3:AK22">
    <cfRule type="cellIs" dxfId="2550" priority="11" stopIfTrue="1" operator="equal">
      <formula>"must average at least 5 innings per start"</formula>
    </cfRule>
  </conditionalFormatting>
  <conditionalFormatting sqref="AK23">
    <cfRule type="cellIs" dxfId="2549" priority="10" stopIfTrue="1" operator="equal">
      <formula>"must have 162 starts"</formula>
    </cfRule>
  </conditionalFormatting>
  <conditionalFormatting sqref="AK3:AK22">
    <cfRule type="cellIs" dxfId="2548" priority="9" stopIfTrue="1" operator="equal">
      <formula>"must average at least 5 innings per start"</formula>
    </cfRule>
  </conditionalFormatting>
  <conditionalFormatting sqref="AK23">
    <cfRule type="cellIs" dxfId="2547" priority="8" stopIfTrue="1" operator="equal">
      <formula>"must have 162 starts"</formula>
    </cfRule>
  </conditionalFormatting>
  <conditionalFormatting sqref="AG3:AG22">
    <cfRule type="cellIs" dxfId="2546" priority="7" stopIfTrue="1" operator="equal">
      <formula>"must average at least 5 innings per start"</formula>
    </cfRule>
  </conditionalFormatting>
  <conditionalFormatting sqref="AG23">
    <cfRule type="cellIs" dxfId="2545" priority="6" stopIfTrue="1" operator="equal">
      <formula>"must have 162 starts"</formula>
    </cfRule>
  </conditionalFormatting>
  <conditionalFormatting sqref="AK3:AK22">
    <cfRule type="cellIs" dxfId="2544" priority="5" stopIfTrue="1" operator="equal">
      <formula>"must average at least 5 innings per start"</formula>
    </cfRule>
  </conditionalFormatting>
  <conditionalFormatting sqref="AK23">
    <cfRule type="cellIs" dxfId="2543" priority="4" stopIfTrue="1" operator="equal">
      <formula>"must have 162 starts"</formula>
    </cfRule>
  </conditionalFormatting>
  <conditionalFormatting sqref="AG3:AG22">
    <cfRule type="cellIs" dxfId="2542" priority="3" stopIfTrue="1" operator="equal">
      <formula>"must average at least 5 innings per start"</formula>
    </cfRule>
  </conditionalFormatting>
  <conditionalFormatting sqref="AG23">
    <cfRule type="cellIs" dxfId="2541" priority="2" stopIfTrue="1" operator="equal">
      <formula>"must have 162 starts"</formula>
    </cfRule>
  </conditionalFormatting>
  <conditionalFormatting sqref="Q2">
    <cfRule type="cellIs" dxfId="2540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4819" divId="ROTcheck_4819" sourceType="sheet" destinationFile="C:\1kading\schedule\skednew.html"/>
    <webPublishItem id="12774" divId="ROTcheck_12774" sourceType="range" sourceRef="A1:O193" destinationFile="C:\1kading\schedule\skednew.html"/>
    <webPublishItem id="21089" divId="ROTcheck_21089" sourceType="range" sourceRef="A156:O185" destinationFile="C:\1kading\schedule\skednew.html"/>
  </webPublishItems>
</worksheet>
</file>

<file path=xl/worksheets/sheet23.xml><?xml version="1.0" encoding="utf-8"?>
<worksheet xmlns="http://schemas.openxmlformats.org/spreadsheetml/2006/main" xmlns:r="http://schemas.openxmlformats.org/officeDocument/2006/relationships">
  <dimension ref="A1:AJ226"/>
  <sheetViews>
    <sheetView zoomScale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6.140625" style="4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23.28515625" style="2" customWidth="1"/>
    <col min="20" max="20" width="9.42578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42578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48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 t="s">
        <v>32</v>
      </c>
      <c r="C3" s="33" t="s">
        <v>14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228</v>
      </c>
      <c r="T3" s="46" t="str">
        <f>IF(ISERROR((VLOOKUP(S3,Pitchers!$B$1:H$800,4,FALSE))),"",(VLOOKUP(S3,Pitchers!$B$1:H$800,4,FALSE)))</f>
        <v>PIT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15</v>
      </c>
      <c r="X3" s="47">
        <f>IF(ISERROR((VLOOKUP(S3,Pitchers!B$2:AA$795,11,FALSE))),"",(VLOOKUP(S3,Pitchers!B$2:AA$795,11,FALSE)))</f>
        <v>208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OTT</v>
      </c>
    </row>
    <row r="4" spans="1:36" ht="12.75">
      <c r="A4" s="6">
        <v>4.0199999999999996</v>
      </c>
      <c r="B4" s="33" t="s">
        <v>32</v>
      </c>
      <c r="C4" s="33" t="s">
        <v>14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1852</v>
      </c>
      <c r="T4" s="46" t="str">
        <f>IF(ISERROR((VLOOKUP(S4,Pitchers!$B$1:H$800,4,FALSE))),"",(VLOOKUP(S4,Pitchers!$B$1:H$800,4,FALSE)))</f>
        <v>NYY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12</v>
      </c>
      <c r="X4" s="47">
        <f>IF(ISERROR((VLOOKUP(S4,Pitchers!B$2:AA$795,11,FALSE))),"",(VLOOKUP(S4,Pitchers!B$2:AA$795,11,FALSE)))</f>
        <v>63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>L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OTT</v>
      </c>
    </row>
    <row r="5" spans="1:36" ht="12.75">
      <c r="A5" s="6">
        <v>4.03</v>
      </c>
      <c r="B5" s="33" t="s">
        <v>32</v>
      </c>
      <c r="C5" s="33" t="s">
        <v>14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242</v>
      </c>
      <c r="T5" s="46" t="str">
        <f>IF(ISERROR((VLOOKUP(S5,Pitchers!$B$1:H$800,4,FALSE))),"",(VLOOKUP(S5,Pitchers!$B$1:H$800,4,FALSE)))</f>
        <v>TOT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10</v>
      </c>
      <c r="X5" s="47">
        <f>IF(ISERROR((VLOOKUP(S5,Pitchers!B$2:AA$795,11,FALSE))),"",(VLOOKUP(S5,Pitchers!B$2:AA$795,11,FALSE)))</f>
        <v>212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>Z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OTT</v>
      </c>
    </row>
    <row r="6" spans="1:36" ht="12.75">
      <c r="A6" s="6">
        <v>4.04</v>
      </c>
      <c r="B6" s="33" t="s">
        <v>32</v>
      </c>
      <c r="C6" s="33" t="s">
        <v>14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705</v>
      </c>
      <c r="T6" s="46" t="str">
        <f>IF(ISERROR((VLOOKUP(S6,Pitchers!$B$1:H$800,4,FALSE))),"",(VLOOKUP(S6,Pitchers!$B$1:H$800,4,FALSE)))</f>
        <v>WSN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9</v>
      </c>
      <c r="X6" s="47">
        <f>IF(ISERROR((VLOOKUP(S6,Pitchers!B$2:AA$795,11,FALSE))),"",(VLOOKUP(S6,Pitchers!B$2:AA$795,11,FALSE)))</f>
        <v>202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OTT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693</v>
      </c>
      <c r="T7" s="46" t="str">
        <f>IF(ISERROR((VLOOKUP(S7,Pitchers!$B$1:H$800,4,FALSE))),"",(VLOOKUP(S7,Pitchers!$B$1:H$800,4,FALSE)))</f>
        <v>TOT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8</v>
      </c>
      <c r="X7" s="47">
        <f>IF(ISERROR((VLOOKUP(S7,Pitchers!B$2:AA$795,11,FALSE))),"",(VLOOKUP(S7,Pitchers!B$2:AA$795,11,FALSE)))</f>
        <v>190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15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474</v>
      </c>
      <c r="T8" s="46" t="str">
        <f>IF(ISERROR((VLOOKUP(S8,Pitchers!$B$1:H$800,4,FALSE))),"",(VLOOKUP(S8,Pitchers!$B$1:H$800,4,FALSE)))</f>
        <v>STL</v>
      </c>
      <c r="U8" s="45" t="str">
        <f>IF(ISERROR((VLOOKUP(S8,Pitchers!B$2:AA$795,10,FALSE))),"",(VLOOKUP(S8,Pitchers!B$2:AA$795,10,FALSE)))</f>
        <v>L</v>
      </c>
      <c r="V8" s="41"/>
      <c r="W8" s="46">
        <f>IF(ISERROR((VLOOKUP(S8,Pitchers!B$2:AA$795,13,FALSE))),"",(VLOOKUP(S8,Pitchers!B$2:AA$795,13,FALSE)))</f>
        <v>7</v>
      </c>
      <c r="X8" s="47">
        <f>IF(ISERROR((VLOOKUP(S8,Pitchers!B$2:AA$795,11,FALSE))),"",(VLOOKUP(S8,Pitchers!B$2:AA$795,11,FALSE)))</f>
        <v>42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>X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>M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OTT</v>
      </c>
    </row>
    <row r="9" spans="1:36" ht="12.75">
      <c r="A9" s="6">
        <v>4.07</v>
      </c>
      <c r="B9" s="33"/>
      <c r="C9" s="33" t="s">
        <v>15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1887</v>
      </c>
      <c r="T9" s="46" t="str">
        <f>IF(ISERROR((VLOOKUP(S9,Pitchers!$B$1:H$800,4,FALSE))),"",(VLOOKUP(S9,Pitchers!$B$1:H$800,4,FALSE)))</f>
        <v>TOT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6</v>
      </c>
      <c r="X9" s="47">
        <f>IF(ISERROR((VLOOKUP(S9,Pitchers!B$2:AA$795,11,FALSE))),"",(VLOOKUP(S9,Pitchers!B$2:AA$795,11,FALSE)))</f>
        <v>23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Y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OTT</v>
      </c>
    </row>
    <row r="10" spans="1:36" ht="12.75">
      <c r="A10" s="6">
        <v>4.08</v>
      </c>
      <c r="B10" s="33"/>
      <c r="C10" s="33" t="s">
        <v>15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1251</v>
      </c>
      <c r="T10" s="46" t="str">
        <f>IF(ISERROR((VLOOKUP(S10,Pitchers!$B$1:H$800,4,FALSE))),"",(VLOOKUP(S10,Pitchers!$B$1:H$800,4,FALSE)))</f>
        <v>ARI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5</v>
      </c>
      <c r="X10" s="47">
        <f>IF(ISERROR((VLOOKUP(S10,Pitchers!B$2:AA$795,11,FALSE))),"",(VLOOKUP(S10,Pitchers!B$2:AA$795,11,FALSE)))</f>
        <v>153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OTT</v>
      </c>
    </row>
    <row r="11" spans="1:36" ht="12.75">
      <c r="A11" s="6">
        <v>4.09</v>
      </c>
      <c r="B11" s="33"/>
      <c r="C11" s="33" t="s">
        <v>15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 t="s">
        <v>848</v>
      </c>
      <c r="T11" s="46" t="str">
        <f>IF(ISERROR((VLOOKUP(S11,Pitchers!$B$1:H$800,4,FALSE))),"",(VLOOKUP(S11,Pitchers!$B$1:H$800,4,FALSE)))</f>
        <v>ARI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5</v>
      </c>
      <c r="X11" s="47">
        <f>IF(ISERROR((VLOOKUP(S11,Pitchers!B$2:AA$795,11,FALSE))),"",(VLOOKUP(S11,Pitchers!B$2:AA$795,11,FALSE)))</f>
        <v>69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>Z</v>
      </c>
      <c r="AD11" s="53" t="str">
        <f>IF(ISERROR((VLOOKUP(S11,Pitchers!B$2:AA$795,18,FALSE))),"",(VLOOKUP(S11,Pitchers!B$2:AA$795,18,FALSE)))</f>
        <v>L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OTT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t="s">
        <v>592</v>
      </c>
      <c r="T12" s="46" t="str">
        <f>IF(ISERROR((VLOOKUP(S12,Pitchers!$B$1:H$800,4,FALSE))),"",(VLOOKUP(S12,Pitchers!$B$1:H$800,4,FALSE)))</f>
        <v>WSN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4</v>
      </c>
      <c r="X12" s="47">
        <f>IF(ISERROR((VLOOKUP(S12,Pitchers!B$2:AA$795,11,FALSE))),"",(VLOOKUP(S12,Pitchers!B$2:AA$795,11,FALSE)))</f>
        <v>66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>Z</v>
      </c>
      <c r="AD12" s="53" t="str">
        <f>IF(ISERROR((VLOOKUP(S12,Pitchers!B$2:AA$795,18,FALSE))),"",(VLOOKUP(S12,Pitchers!B$2:AA$795,18,FALSE)))</f>
        <v>L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46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t="s">
        <v>785</v>
      </c>
      <c r="T13" s="46" t="str">
        <f>IF(ISERROR((VLOOKUP(S13,Pitchers!$B$1:H$800,4,FALSE))),"",(VLOOKUP(S13,Pitchers!$B$1:H$800,4,FALSE)))</f>
        <v>BOS</v>
      </c>
      <c r="U13" s="45" t="str">
        <f>IF(ISERROR((VLOOKUP(S13,Pitchers!B$2:AA$795,10,FALSE))),"",(VLOOKUP(S13,Pitchers!B$2:AA$795,10,FALSE)))</f>
        <v>L</v>
      </c>
      <c r="V13" s="21"/>
      <c r="W13" s="46">
        <f>IF(ISERROR((VLOOKUP(S13,Pitchers!B$2:AA$795,13,FALSE))),"",(VLOOKUP(S13,Pitchers!B$2:AA$795,13,FALSE)))</f>
        <v>4</v>
      </c>
      <c r="X13" s="47">
        <f>IF(ISERROR((VLOOKUP(S13,Pitchers!B$2:AA$795,11,FALSE))),"",(VLOOKUP(S13,Pitchers!B$2:AA$795,11,FALSE)))</f>
        <v>10</v>
      </c>
      <c r="Y13" s="22"/>
      <c r="Z13" s="22"/>
      <c r="AA13" s="22"/>
      <c r="AB13" s="51" t="str">
        <f>IF(ISERROR((VLOOKUP(S13,Pitchers!B$2:AA$795,16,FALSE))),"",(VLOOKUP(S13,Pitchers!B$2:AA$795,16,FALSE)))</f>
        <v xml:space="preserve"> </v>
      </c>
      <c r="AC13" s="52" t="str">
        <f>IF(ISERROR((VLOOKUP(S13,Pitchers!B$2:AA$795,17,FALSE))),"",(VLOOKUP(S13,Pitchers!B$2:AA$795,17,FALSE)))</f>
        <v xml:space="preserve"> </v>
      </c>
      <c r="AD13" s="53" t="str">
        <f>IF(ISERROR((VLOOKUP(S13,Pitchers!B$2:AA$795,18,FALSE))),"",(VLOOKUP(S13,Pitchers!B$2:AA$795,18,FALSE)))</f>
        <v>L</v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OTT</v>
      </c>
    </row>
    <row r="14" spans="1:36" ht="12.75">
      <c r="A14" s="6">
        <v>4.12</v>
      </c>
      <c r="B14" s="32" t="s">
        <v>32</v>
      </c>
      <c r="C14" s="33" t="s">
        <v>46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43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OTT</v>
      </c>
    </row>
    <row r="15" spans="1:36" ht="12.75">
      <c r="A15" s="6">
        <v>4.13</v>
      </c>
      <c r="B15" s="32" t="s">
        <v>32</v>
      </c>
      <c r="C15" s="33" t="s">
        <v>46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OTT</v>
      </c>
    </row>
    <row r="16" spans="1:36" ht="12.75">
      <c r="A16" s="6">
        <v>4.1399999999999997</v>
      </c>
      <c r="B16" s="32" t="s">
        <v>32</v>
      </c>
      <c r="C16" s="33" t="s">
        <v>46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OTT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33" t="s">
        <v>49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OTT</v>
      </c>
    </row>
    <row r="19" spans="1:36" ht="12.75">
      <c r="A19" s="6">
        <v>4.17</v>
      </c>
      <c r="B19" s="33" t="s">
        <v>32</v>
      </c>
      <c r="C19" s="33" t="s">
        <v>49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OTT</v>
      </c>
    </row>
    <row r="20" spans="1:36" ht="12.75">
      <c r="A20" s="6">
        <v>4.18</v>
      </c>
      <c r="B20" s="33" t="s">
        <v>32</v>
      </c>
      <c r="C20" s="33" t="s">
        <v>49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OTT</v>
      </c>
    </row>
    <row r="21" spans="1:36" ht="12.75">
      <c r="A21" s="6">
        <v>4.1900000000000004</v>
      </c>
      <c r="B21" s="33" t="s">
        <v>32</v>
      </c>
      <c r="C21" s="33" t="s">
        <v>49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OTT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 t="s">
        <v>32</v>
      </c>
      <c r="C23" s="33" t="s">
        <v>40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OTT</v>
      </c>
    </row>
    <row r="24" spans="1:36" ht="12.75">
      <c r="A24" s="6">
        <v>4.22</v>
      </c>
      <c r="B24" s="33" t="s">
        <v>32</v>
      </c>
      <c r="C24" s="33" t="s">
        <v>40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OTT</v>
      </c>
    </row>
    <row r="25" spans="1:36" ht="12.75">
      <c r="A25" s="6">
        <v>4.2300000000000004</v>
      </c>
      <c r="B25" s="33" t="s">
        <v>32</v>
      </c>
      <c r="C25" s="33" t="s">
        <v>40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OTT</v>
      </c>
    </row>
    <row r="26" spans="1:36" ht="12.75">
      <c r="A26" s="6">
        <v>4.24</v>
      </c>
      <c r="B26" s="33" t="s">
        <v>32</v>
      </c>
      <c r="C26" s="33" t="s">
        <v>40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OTT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/>
      <c r="C28" s="33" t="s">
        <v>17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OTT</v>
      </c>
    </row>
    <row r="29" spans="1:36" ht="12.75">
      <c r="A29" s="6">
        <v>4.2699999999999996</v>
      </c>
      <c r="B29" s="33"/>
      <c r="C29" s="33" t="s">
        <v>17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OTT</v>
      </c>
    </row>
    <row r="30" spans="1:36" ht="12.75">
      <c r="A30" s="6">
        <v>4.28</v>
      </c>
      <c r="B30" s="33"/>
      <c r="C30" s="33" t="s">
        <v>17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OTT</v>
      </c>
    </row>
    <row r="31" spans="1:36" ht="12.75">
      <c r="A31" s="6">
        <v>4.29</v>
      </c>
      <c r="B31" s="33"/>
      <c r="C31" s="33" t="s">
        <v>17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OTT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 t="s">
        <v>32</v>
      </c>
      <c r="C33" s="33" t="s">
        <v>33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OTT</v>
      </c>
    </row>
    <row r="34" spans="1:36" ht="12.75">
      <c r="A34" s="6">
        <v>5.0199999999999996</v>
      </c>
      <c r="B34" s="33" t="s">
        <v>32</v>
      </c>
      <c r="C34" s="33" t="s">
        <v>33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OTT</v>
      </c>
    </row>
    <row r="35" spans="1:36" ht="12.75">
      <c r="A35" s="6">
        <v>5.03</v>
      </c>
      <c r="B35" s="33" t="s">
        <v>32</v>
      </c>
      <c r="C35" s="33" t="s">
        <v>33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OTT</v>
      </c>
    </row>
    <row r="36" spans="1:36" ht="12.75">
      <c r="A36" s="6">
        <v>5.04</v>
      </c>
      <c r="B36" s="33" t="s">
        <v>32</v>
      </c>
      <c r="C36" s="33" t="s">
        <v>33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OTT</v>
      </c>
    </row>
    <row r="37" spans="1:36" ht="12.75">
      <c r="A37" s="6">
        <v>5.05</v>
      </c>
      <c r="B37" s="33"/>
      <c r="C37" s="33" t="s">
        <v>45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OTT</v>
      </c>
    </row>
    <row r="38" spans="1:36" ht="12.75">
      <c r="A38" s="6">
        <v>5.0599999999999996</v>
      </c>
      <c r="B38" s="33"/>
      <c r="C38" s="33" t="s">
        <v>45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OTT</v>
      </c>
    </row>
    <row r="39" spans="1:36" ht="12.75">
      <c r="A39" s="6">
        <v>5.07</v>
      </c>
      <c r="B39" s="33"/>
      <c r="C39" s="33" t="s">
        <v>45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OTT</v>
      </c>
    </row>
    <row r="40" spans="1:36" ht="12.75">
      <c r="A40" s="6">
        <v>5.08</v>
      </c>
      <c r="B40" s="33"/>
      <c r="C40" s="33" t="s">
        <v>45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OTT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34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OTT</v>
      </c>
    </row>
    <row r="43" spans="1:36" ht="12.75">
      <c r="A43" s="6">
        <v>5.1100000000000003</v>
      </c>
      <c r="B43" s="33"/>
      <c r="C43" s="33" t="s">
        <v>34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OTT</v>
      </c>
    </row>
    <row r="44" spans="1:36" ht="12.75">
      <c r="A44" s="6">
        <v>5.12</v>
      </c>
      <c r="B44" s="33"/>
      <c r="C44" s="33" t="s">
        <v>34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OTT</v>
      </c>
    </row>
    <row r="45" spans="1:36" ht="12.75">
      <c r="A45" s="6">
        <v>5.13</v>
      </c>
      <c r="B45" s="33"/>
      <c r="C45" s="33" t="s">
        <v>34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OTT</v>
      </c>
    </row>
    <row r="46" spans="1:36" ht="12.75">
      <c r="A46" s="6">
        <v>5.14</v>
      </c>
      <c r="B46" s="33"/>
      <c r="C46" s="33" t="s">
        <v>43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OTT</v>
      </c>
    </row>
    <row r="47" spans="1:36" ht="12.75">
      <c r="A47" s="6">
        <v>5.15</v>
      </c>
      <c r="B47" s="33"/>
      <c r="C47" s="33" t="s">
        <v>43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OTT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/>
      <c r="C49" s="33" t="s">
        <v>43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OTT</v>
      </c>
    </row>
    <row r="50" spans="1:36" ht="12.75">
      <c r="A50" s="6">
        <v>5.18</v>
      </c>
      <c r="B50" s="33"/>
      <c r="C50" s="33" t="s">
        <v>43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OTT</v>
      </c>
    </row>
    <row r="51" spans="1:36" ht="12.75">
      <c r="A51" s="6">
        <v>5.19</v>
      </c>
      <c r="B51" s="33"/>
      <c r="C51" s="33" t="s">
        <v>55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OTT</v>
      </c>
    </row>
    <row r="52" spans="1:36" ht="12.75">
      <c r="A52" s="6">
        <v>5.2</v>
      </c>
      <c r="B52" s="33"/>
      <c r="C52" s="33" t="s">
        <v>55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OTT</v>
      </c>
    </row>
    <row r="53" spans="1:36" ht="12.75">
      <c r="A53" s="6">
        <v>5.21</v>
      </c>
      <c r="B53" s="33"/>
      <c r="C53" s="33" t="s">
        <v>55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OTT</v>
      </c>
    </row>
    <row r="54" spans="1:36" ht="12.75">
      <c r="A54" s="6">
        <v>5.22</v>
      </c>
      <c r="B54" s="33"/>
      <c r="C54" s="33" t="s">
        <v>55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OTT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/>
      <c r="C56" s="33" t="s">
        <v>16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OTT</v>
      </c>
    </row>
    <row r="57" spans="1:36" ht="12.75">
      <c r="A57" s="6">
        <v>5.25</v>
      </c>
      <c r="B57" s="33"/>
      <c r="C57" s="33" t="s">
        <v>16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OTT</v>
      </c>
    </row>
    <row r="58" spans="1:36" ht="12.75">
      <c r="A58" s="6">
        <v>5.26</v>
      </c>
      <c r="B58" s="33"/>
      <c r="C58" s="33" t="s">
        <v>16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OTT</v>
      </c>
    </row>
    <row r="59" spans="1:36" ht="12.75">
      <c r="A59" s="6">
        <v>5.27</v>
      </c>
      <c r="B59" s="33"/>
      <c r="C59" s="33" t="s">
        <v>16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OTT</v>
      </c>
    </row>
    <row r="60" spans="1:36" ht="12.75">
      <c r="A60" s="6">
        <v>5.28</v>
      </c>
      <c r="B60" s="33"/>
      <c r="C60" s="33" t="s">
        <v>41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OTT</v>
      </c>
    </row>
    <row r="61" spans="1:36" ht="12.75">
      <c r="A61" s="6">
        <v>5.29</v>
      </c>
      <c r="B61" s="33"/>
      <c r="C61" s="33" t="s">
        <v>41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OTT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/>
      <c r="C63" s="33" t="s">
        <v>41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OTT</v>
      </c>
    </row>
    <row r="64" spans="1:36" ht="12.75">
      <c r="A64" s="6">
        <v>6.01</v>
      </c>
      <c r="B64" s="33"/>
      <c r="C64" s="33" t="s">
        <v>56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OTT</v>
      </c>
    </row>
    <row r="65" spans="1:36" ht="12.75">
      <c r="A65" s="6">
        <v>6.02</v>
      </c>
      <c r="B65" s="33"/>
      <c r="C65" s="33" t="s">
        <v>56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OTT</v>
      </c>
    </row>
    <row r="66" spans="1:36" ht="12.75">
      <c r="A66" s="6">
        <v>6.03</v>
      </c>
      <c r="B66" s="33"/>
      <c r="C66" s="33" t="s">
        <v>56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OTT</v>
      </c>
    </row>
    <row r="67" spans="1:36" ht="12.75">
      <c r="A67" s="6">
        <v>6.04</v>
      </c>
      <c r="B67" s="33"/>
      <c r="C67" s="33" t="s">
        <v>56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OTT</v>
      </c>
    </row>
    <row r="68" spans="1:36" ht="12.75">
      <c r="A68" s="6">
        <v>6.05</v>
      </c>
      <c r="B68" s="33"/>
      <c r="C68" s="33" t="s">
        <v>47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OTT</v>
      </c>
    </row>
    <row r="69" spans="1:36" ht="12.75">
      <c r="A69" s="6">
        <v>6.06</v>
      </c>
      <c r="B69" s="33"/>
      <c r="C69" s="33" t="s">
        <v>47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OTT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/>
      <c r="C71" s="33" t="s">
        <v>47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OTT</v>
      </c>
    </row>
    <row r="72" spans="1:36" ht="12.75">
      <c r="A72" s="6">
        <v>6.09</v>
      </c>
      <c r="B72" s="33"/>
      <c r="C72" s="33" t="s">
        <v>47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OTT</v>
      </c>
    </row>
    <row r="73" spans="1:36" ht="12.75">
      <c r="A73" s="6">
        <v>6.1</v>
      </c>
      <c r="B73" s="32" t="s">
        <v>32</v>
      </c>
      <c r="C73" s="33" t="s">
        <v>42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OTT</v>
      </c>
    </row>
    <row r="74" spans="1:36" ht="12.75">
      <c r="A74" s="6">
        <v>6.11</v>
      </c>
      <c r="B74" s="32" t="s">
        <v>32</v>
      </c>
      <c r="C74" s="33" t="s">
        <v>42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OTT</v>
      </c>
    </row>
    <row r="75" spans="1:36" ht="12.75">
      <c r="A75" s="6">
        <v>6.12</v>
      </c>
      <c r="B75" s="32" t="s">
        <v>32</v>
      </c>
      <c r="C75" s="33" t="s">
        <v>42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OTT</v>
      </c>
    </row>
    <row r="76" spans="1:36" ht="12.75">
      <c r="A76" s="6">
        <v>6.13</v>
      </c>
      <c r="B76" s="32" t="s">
        <v>32</v>
      </c>
      <c r="C76" s="33" t="s">
        <v>42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OTT</v>
      </c>
    </row>
    <row r="77" spans="1:36" ht="12.75">
      <c r="A77" s="6">
        <v>6.14</v>
      </c>
      <c r="B77" s="33" t="s">
        <v>32</v>
      </c>
      <c r="C77" s="33" t="s">
        <v>1917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OTT</v>
      </c>
    </row>
    <row r="78" spans="1:36" ht="12.75">
      <c r="A78" s="6">
        <v>6.15</v>
      </c>
      <c r="B78" s="33" t="s">
        <v>32</v>
      </c>
      <c r="C78" s="33" t="s">
        <v>1917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OTT</v>
      </c>
    </row>
    <row r="79" spans="1:36" ht="12.75">
      <c r="A79" s="6">
        <v>6.16</v>
      </c>
      <c r="B79" s="33" t="s">
        <v>32</v>
      </c>
      <c r="C79" s="33" t="s">
        <v>1917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OTT</v>
      </c>
    </row>
    <row r="80" spans="1:36" ht="12.75">
      <c r="A80" s="6">
        <v>6.17</v>
      </c>
      <c r="B80" s="33" t="s">
        <v>32</v>
      </c>
      <c r="C80" s="33" t="s">
        <v>1917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OTT</v>
      </c>
    </row>
    <row r="81" spans="1:36" ht="12.75">
      <c r="A81" s="6">
        <v>6.18</v>
      </c>
      <c r="B81" s="33"/>
      <c r="C81" s="33" t="s">
        <v>35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OTT</v>
      </c>
    </row>
    <row r="82" spans="1:36" ht="12.75">
      <c r="A82" s="6">
        <v>6.19</v>
      </c>
      <c r="B82" s="33"/>
      <c r="C82" s="33" t="s">
        <v>35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OTT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/>
      <c r="C84" s="33" t="s">
        <v>35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OTT</v>
      </c>
    </row>
    <row r="85" spans="1:36" ht="12.75">
      <c r="A85" s="6">
        <v>6.22</v>
      </c>
      <c r="B85" s="33"/>
      <c r="C85" s="33" t="s">
        <v>35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OTT</v>
      </c>
    </row>
    <row r="86" spans="1:36" ht="12.75">
      <c r="A86" s="6">
        <v>6.23</v>
      </c>
      <c r="B86" s="33"/>
      <c r="C86" s="33" t="s">
        <v>12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OTT</v>
      </c>
    </row>
    <row r="87" spans="1:36" ht="12.75">
      <c r="A87" s="6">
        <v>6.24</v>
      </c>
      <c r="B87" s="33"/>
      <c r="C87" s="33" t="s">
        <v>12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OTT</v>
      </c>
    </row>
    <row r="88" spans="1:36" ht="12.75">
      <c r="A88" s="6">
        <v>6.25</v>
      </c>
      <c r="B88" s="33"/>
      <c r="C88" s="33" t="s">
        <v>12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OTT</v>
      </c>
    </row>
    <row r="89" spans="1:36" ht="12.75">
      <c r="A89" s="6">
        <v>6.26</v>
      </c>
      <c r="B89" s="33"/>
      <c r="C89" s="33" t="s">
        <v>12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OTT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5">
      <c r="A91" s="6">
        <v>6.28</v>
      </c>
      <c r="B91" s="36"/>
      <c r="C91" s="36" t="s">
        <v>1919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OTT</v>
      </c>
    </row>
    <row r="92" spans="1:36" ht="15">
      <c r="A92" s="6">
        <v>6.29</v>
      </c>
      <c r="B92" s="36"/>
      <c r="C92" s="36" t="s">
        <v>1919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OTT</v>
      </c>
    </row>
    <row r="93" spans="1:36" ht="15">
      <c r="A93" s="6">
        <v>6.3</v>
      </c>
      <c r="B93" s="36"/>
      <c r="C93" s="36" t="s">
        <v>1919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OTT</v>
      </c>
    </row>
    <row r="94" spans="1:36" ht="12.75">
      <c r="A94" s="6">
        <v>7.01</v>
      </c>
      <c r="B94" s="33" t="s">
        <v>32</v>
      </c>
      <c r="C94" s="33" t="s">
        <v>51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OTT</v>
      </c>
    </row>
    <row r="95" spans="1:36" ht="12.75">
      <c r="A95" s="6">
        <v>7.02</v>
      </c>
      <c r="B95" s="33" t="s">
        <v>32</v>
      </c>
      <c r="C95" s="33" t="s">
        <v>51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OTT</v>
      </c>
    </row>
    <row r="96" spans="1:36" ht="12.75">
      <c r="A96" s="6">
        <v>7.03</v>
      </c>
      <c r="B96" s="33" t="s">
        <v>32</v>
      </c>
      <c r="C96" s="33" t="s">
        <v>51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OTT</v>
      </c>
    </row>
    <row r="97" spans="1:36" ht="12.75">
      <c r="A97" s="6">
        <v>7.04</v>
      </c>
      <c r="B97" s="33"/>
      <c r="C97" s="33" t="s">
        <v>39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OTT</v>
      </c>
    </row>
    <row r="98" spans="1:36" ht="12.75">
      <c r="A98" s="6">
        <v>7.05</v>
      </c>
      <c r="B98" s="33"/>
      <c r="C98" s="33" t="s">
        <v>39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OTT</v>
      </c>
    </row>
    <row r="99" spans="1:36" ht="12.75">
      <c r="A99" s="6">
        <v>7.06</v>
      </c>
      <c r="B99" s="33"/>
      <c r="C99" s="33" t="s">
        <v>39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OTT</v>
      </c>
    </row>
    <row r="100" spans="1:36" ht="12.75">
      <c r="A100" s="6">
        <v>7.07</v>
      </c>
      <c r="B100" s="33"/>
      <c r="C100" s="33" t="s">
        <v>13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OTT</v>
      </c>
    </row>
    <row r="101" spans="1:36" ht="12.75">
      <c r="A101" s="6">
        <v>7.08</v>
      </c>
      <c r="B101" s="33"/>
      <c r="C101" s="33" t="s">
        <v>13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OTT</v>
      </c>
    </row>
    <row r="102" spans="1:36" ht="12.75">
      <c r="A102" s="6">
        <v>7.09</v>
      </c>
      <c r="B102" s="33"/>
      <c r="C102" s="33" t="s">
        <v>13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OTT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54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OTT</v>
      </c>
    </row>
    <row r="107" spans="1:36" ht="12.75">
      <c r="A107" s="6">
        <v>7.14</v>
      </c>
      <c r="B107" s="33"/>
      <c r="C107" s="33" t="s">
        <v>54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OTT</v>
      </c>
    </row>
    <row r="108" spans="1:36" ht="12.75">
      <c r="A108" s="6">
        <v>7.15</v>
      </c>
      <c r="B108" s="33"/>
      <c r="C108" s="33" t="s">
        <v>54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OTT</v>
      </c>
    </row>
    <row r="109" spans="1:36" ht="12.75">
      <c r="A109" s="6">
        <v>7.16</v>
      </c>
      <c r="B109" s="33" t="s">
        <v>32</v>
      </c>
      <c r="C109" s="33" t="s">
        <v>1918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OTT</v>
      </c>
    </row>
    <row r="110" spans="1:36" ht="12.75">
      <c r="A110" s="6">
        <v>7.17</v>
      </c>
      <c r="B110" s="33" t="s">
        <v>32</v>
      </c>
      <c r="C110" s="33" t="s">
        <v>1918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OTT</v>
      </c>
    </row>
    <row r="111" spans="1:36" ht="12.75">
      <c r="A111" s="6">
        <v>7.18</v>
      </c>
      <c r="B111" s="33" t="s">
        <v>32</v>
      </c>
      <c r="C111" s="33" t="s">
        <v>1918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OTT</v>
      </c>
    </row>
    <row r="112" spans="1:36" ht="12.75">
      <c r="A112" s="6">
        <v>7.19</v>
      </c>
      <c r="B112" s="33" t="s">
        <v>32</v>
      </c>
      <c r="C112" s="33" t="s">
        <v>44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OTT</v>
      </c>
    </row>
    <row r="113" spans="1:36" ht="12.75">
      <c r="A113" s="6">
        <v>7.2</v>
      </c>
      <c r="B113" s="33" t="s">
        <v>32</v>
      </c>
      <c r="C113" s="33" t="s">
        <v>44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OTT</v>
      </c>
    </row>
    <row r="114" spans="1:36" ht="12.75">
      <c r="A114" s="6">
        <v>7.21</v>
      </c>
      <c r="B114" s="33" t="s">
        <v>32</v>
      </c>
      <c r="C114" s="33" t="s">
        <v>44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OTT</v>
      </c>
    </row>
    <row r="115" spans="1:36" ht="12.75">
      <c r="A115" s="6">
        <v>7.22</v>
      </c>
      <c r="B115" s="33" t="s">
        <v>32</v>
      </c>
      <c r="C115" s="33" t="s">
        <v>44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OTT</v>
      </c>
    </row>
    <row r="116" spans="1:36" ht="12.75">
      <c r="A116" s="6">
        <v>7.23</v>
      </c>
      <c r="B116" s="33"/>
      <c r="C116" s="33" t="s">
        <v>52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OTT</v>
      </c>
    </row>
    <row r="117" spans="1:36" ht="12.75">
      <c r="A117" s="6">
        <v>7.24</v>
      </c>
      <c r="B117" s="33"/>
      <c r="C117" s="33" t="s">
        <v>52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OTT</v>
      </c>
    </row>
    <row r="118" spans="1:36" ht="12.75">
      <c r="A118" s="6">
        <v>7.25</v>
      </c>
      <c r="B118" s="33"/>
      <c r="C118" s="33" t="s">
        <v>52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OTT</v>
      </c>
    </row>
    <row r="119" spans="1:36" ht="12.75">
      <c r="A119" s="6">
        <v>7.26</v>
      </c>
      <c r="B119" s="33"/>
      <c r="C119" s="33" t="s">
        <v>52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OTT</v>
      </c>
    </row>
    <row r="120" spans="1:36" ht="12.75">
      <c r="A120" s="6">
        <v>7.27</v>
      </c>
      <c r="B120" s="32" t="s">
        <v>32</v>
      </c>
      <c r="C120" s="33" t="s">
        <v>1191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OTT</v>
      </c>
    </row>
    <row r="121" spans="1:36" ht="12.75">
      <c r="A121" s="6">
        <v>7.28</v>
      </c>
      <c r="B121" s="32" t="s">
        <v>32</v>
      </c>
      <c r="C121" s="33" t="s">
        <v>1191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OTT</v>
      </c>
    </row>
    <row r="122" spans="1:36" ht="12.75">
      <c r="A122" s="6">
        <v>7.29</v>
      </c>
      <c r="B122" s="32" t="s">
        <v>32</v>
      </c>
      <c r="C122" s="33" t="s">
        <v>1191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OTT</v>
      </c>
    </row>
    <row r="123" spans="1:36" ht="12.75">
      <c r="A123" s="6">
        <v>7.3</v>
      </c>
      <c r="B123" s="32" t="s">
        <v>32</v>
      </c>
      <c r="C123" s="33" t="s">
        <v>1191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OTT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/>
      <c r="C125" s="33" t="s">
        <v>53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OTT</v>
      </c>
    </row>
    <row r="126" spans="1:36" ht="12.75">
      <c r="A126" s="6">
        <v>8.02</v>
      </c>
      <c r="B126" s="33"/>
      <c r="C126" s="33" t="s">
        <v>53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OTT</v>
      </c>
    </row>
    <row r="127" spans="1:36" ht="12.75">
      <c r="A127" s="6">
        <v>8.0299999999999994</v>
      </c>
      <c r="B127" s="33"/>
      <c r="C127" s="33" t="s">
        <v>53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OTT</v>
      </c>
    </row>
    <row r="128" spans="1:36" ht="12.75">
      <c r="A128" s="6">
        <v>8.0399999999999991</v>
      </c>
      <c r="B128" s="33"/>
      <c r="C128" s="33" t="s">
        <v>53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OTT</v>
      </c>
    </row>
    <row r="129" spans="1:36" ht="12.75">
      <c r="A129" s="6">
        <v>8.0500000000000007</v>
      </c>
      <c r="B129" s="33"/>
      <c r="C129" s="33" t="s">
        <v>51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OTT</v>
      </c>
    </row>
    <row r="130" spans="1:36" ht="12.75">
      <c r="A130" s="6">
        <v>8.06</v>
      </c>
      <c r="B130" s="33"/>
      <c r="C130" s="33" t="s">
        <v>51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OTT</v>
      </c>
    </row>
    <row r="131" spans="1:36" ht="12.75">
      <c r="A131" s="6">
        <v>8.07</v>
      </c>
      <c r="B131" s="33"/>
      <c r="C131" s="33" t="s">
        <v>51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OTT</v>
      </c>
    </row>
    <row r="132" spans="1:36" ht="12.75">
      <c r="A132" s="6">
        <v>8.08</v>
      </c>
      <c r="B132" s="33"/>
      <c r="C132" s="33" t="s">
        <v>51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OTT</v>
      </c>
    </row>
    <row r="133" spans="1:36" ht="12.75">
      <c r="A133" s="6">
        <v>8.09</v>
      </c>
      <c r="B133" s="33"/>
      <c r="C133" s="33" t="s">
        <v>1918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OTT</v>
      </c>
    </row>
    <row r="134" spans="1:36" ht="12.75">
      <c r="A134" s="6">
        <v>8.1</v>
      </c>
      <c r="B134" s="33"/>
      <c r="C134" s="33" t="s">
        <v>1918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OTT</v>
      </c>
    </row>
    <row r="135" spans="1:36" ht="12.75">
      <c r="A135" s="6">
        <v>8.11</v>
      </c>
      <c r="B135" s="33"/>
      <c r="C135" s="33" t="s">
        <v>1918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OTT</v>
      </c>
    </row>
    <row r="136" spans="1:36" ht="12.75">
      <c r="A136" s="6">
        <v>8.1199999999999992</v>
      </c>
      <c r="B136" s="33"/>
      <c r="C136" s="33" t="s">
        <v>1918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OTT</v>
      </c>
    </row>
    <row r="137" spans="1:36" ht="12.75">
      <c r="A137" s="6">
        <v>8.1300000000000008</v>
      </c>
      <c r="B137" s="33" t="s">
        <v>32</v>
      </c>
      <c r="C137" s="33" t="s">
        <v>1919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OTT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 t="s">
        <v>32</v>
      </c>
      <c r="C139" s="33" t="s">
        <v>1919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OTT</v>
      </c>
    </row>
    <row r="140" spans="1:36" ht="12.75">
      <c r="A140" s="6">
        <v>8.16</v>
      </c>
      <c r="B140" s="33" t="s">
        <v>32</v>
      </c>
      <c r="C140" s="33" t="s">
        <v>1919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OTT</v>
      </c>
    </row>
    <row r="141" spans="1:36" ht="12.75">
      <c r="A141" s="6">
        <v>8.17</v>
      </c>
      <c r="B141" s="33" t="s">
        <v>32</v>
      </c>
      <c r="C141" s="33" t="s">
        <v>1919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OTT</v>
      </c>
    </row>
    <row r="142" spans="1:36" ht="12.75">
      <c r="A142" s="6">
        <v>8.18</v>
      </c>
      <c r="B142" s="33"/>
      <c r="C142" s="33" t="s">
        <v>33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OTT</v>
      </c>
    </row>
    <row r="143" spans="1:36" ht="12.75">
      <c r="A143" s="6">
        <v>8.19</v>
      </c>
      <c r="B143" s="33"/>
      <c r="C143" s="33" t="s">
        <v>33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OTT</v>
      </c>
    </row>
    <row r="144" spans="1:36" ht="12.75">
      <c r="A144" s="6">
        <v>8.1999999999999993</v>
      </c>
      <c r="B144" s="33"/>
      <c r="C144" s="33" t="s">
        <v>33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OTT</v>
      </c>
    </row>
    <row r="145" spans="1:36" ht="12.75">
      <c r="A145" s="6">
        <v>8.2100000000000009</v>
      </c>
      <c r="B145" s="33" t="s">
        <v>32</v>
      </c>
      <c r="C145" s="33" t="s">
        <v>54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OTT</v>
      </c>
    </row>
    <row r="146" spans="1:36" ht="12.75">
      <c r="A146" s="6">
        <v>8.2200000000000006</v>
      </c>
      <c r="B146" s="33" t="s">
        <v>32</v>
      </c>
      <c r="C146" s="33" t="s">
        <v>54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OTT</v>
      </c>
    </row>
    <row r="147" spans="1:36" ht="12.75">
      <c r="A147" s="6">
        <v>8.23</v>
      </c>
      <c r="B147" s="33" t="s">
        <v>32</v>
      </c>
      <c r="C147" s="33" t="s">
        <v>54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OTT</v>
      </c>
    </row>
    <row r="148" spans="1:36" ht="12.75">
      <c r="A148" s="6">
        <v>8.24</v>
      </c>
      <c r="B148" s="33" t="s">
        <v>32</v>
      </c>
      <c r="C148" s="33" t="s">
        <v>54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OTT</v>
      </c>
    </row>
    <row r="149" spans="1:36" ht="12.75">
      <c r="A149" s="6">
        <v>8.25</v>
      </c>
      <c r="B149" s="33" t="s">
        <v>32</v>
      </c>
      <c r="C149" s="33" t="s">
        <v>39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OTT</v>
      </c>
    </row>
    <row r="150" spans="1:36" ht="12.75">
      <c r="A150" s="6">
        <v>8.26</v>
      </c>
      <c r="B150" s="33" t="s">
        <v>32</v>
      </c>
      <c r="C150" s="33" t="s">
        <v>39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OTT</v>
      </c>
    </row>
    <row r="151" spans="1:36" ht="12.75">
      <c r="A151" s="6">
        <v>8.27</v>
      </c>
      <c r="B151" s="33" t="s">
        <v>32</v>
      </c>
      <c r="C151" s="33" t="s">
        <v>39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OTT</v>
      </c>
    </row>
    <row r="152" spans="1:36" ht="12.75">
      <c r="A152" s="6">
        <v>8.2799999999999994</v>
      </c>
      <c r="B152" s="33" t="s">
        <v>32</v>
      </c>
      <c r="C152" s="33" t="s">
        <v>39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OTT</v>
      </c>
    </row>
    <row r="153" spans="1:36" ht="12.75">
      <c r="A153" s="6">
        <v>8.2899999999999991</v>
      </c>
      <c r="B153" s="33" t="s">
        <v>32</v>
      </c>
      <c r="C153" s="33" t="s">
        <v>45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OTT</v>
      </c>
    </row>
    <row r="154" spans="1:36" ht="12.75">
      <c r="A154" s="6">
        <v>8.3000000000000007</v>
      </c>
      <c r="B154" s="33" t="s">
        <v>32</v>
      </c>
      <c r="C154" s="33" t="s">
        <v>45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OTT</v>
      </c>
    </row>
    <row r="155" spans="1:36" ht="12.75">
      <c r="A155" s="6">
        <v>8.31</v>
      </c>
      <c r="B155" s="33" t="s">
        <v>32</v>
      </c>
      <c r="C155" s="33" t="s">
        <v>45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OTT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55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OTT</v>
      </c>
    </row>
    <row r="158" spans="1:36" ht="12.75">
      <c r="A158" s="6">
        <v>9.0299999999999994</v>
      </c>
      <c r="B158" s="33" t="s">
        <v>32</v>
      </c>
      <c r="C158" s="33" t="s">
        <v>55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OTT</v>
      </c>
    </row>
    <row r="159" spans="1:36" ht="12.75">
      <c r="A159" s="6">
        <v>9.0399999999999991</v>
      </c>
      <c r="B159" s="33" t="s">
        <v>32</v>
      </c>
      <c r="C159" s="33" t="s">
        <v>55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OTT</v>
      </c>
    </row>
    <row r="160" spans="1:36" ht="12.75">
      <c r="A160" s="6">
        <v>9.0500000000000007</v>
      </c>
      <c r="B160" s="33" t="s">
        <v>32</v>
      </c>
      <c r="C160" s="33" t="s">
        <v>47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OTT</v>
      </c>
    </row>
    <row r="161" spans="1:36" ht="12.75">
      <c r="A161" s="6">
        <v>9.06</v>
      </c>
      <c r="B161" s="33" t="s">
        <v>32</v>
      </c>
      <c r="C161" s="33" t="s">
        <v>47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OTT</v>
      </c>
    </row>
    <row r="162" spans="1:36" ht="12.75">
      <c r="A162" s="6">
        <v>9.07</v>
      </c>
      <c r="B162" s="33" t="s">
        <v>32</v>
      </c>
      <c r="C162" s="33" t="s">
        <v>47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OTT</v>
      </c>
    </row>
    <row r="163" spans="1:36" ht="12.75">
      <c r="A163" s="6">
        <v>9.08</v>
      </c>
      <c r="B163" s="33" t="s">
        <v>32</v>
      </c>
      <c r="C163" s="33" t="s">
        <v>43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OTT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 t="s">
        <v>32</v>
      </c>
      <c r="C165" s="33" t="s">
        <v>43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OTT</v>
      </c>
    </row>
    <row r="166" spans="1:36" ht="12.75">
      <c r="A166" s="6">
        <v>9.11</v>
      </c>
      <c r="B166" s="33" t="s">
        <v>32</v>
      </c>
      <c r="C166" s="33" t="s">
        <v>43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OTT</v>
      </c>
    </row>
    <row r="167" spans="1:36" ht="12.75">
      <c r="A167" s="6">
        <v>9.1199999999999992</v>
      </c>
      <c r="B167" s="33" t="s">
        <v>32</v>
      </c>
      <c r="C167" s="33" t="s">
        <v>41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OTT</v>
      </c>
    </row>
    <row r="168" spans="1:36" ht="12.75">
      <c r="A168" s="6">
        <v>9.1300000000000008</v>
      </c>
      <c r="B168" s="33" t="s">
        <v>32</v>
      </c>
      <c r="C168" s="33" t="s">
        <v>41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OTT</v>
      </c>
    </row>
    <row r="169" spans="1:36" ht="12.75">
      <c r="A169" s="6">
        <v>9.14</v>
      </c>
      <c r="B169" s="33" t="s">
        <v>32</v>
      </c>
      <c r="C169" s="33" t="s">
        <v>41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OTT</v>
      </c>
    </row>
    <row r="170" spans="1:36" ht="12.75">
      <c r="A170" s="6">
        <v>9.15</v>
      </c>
      <c r="B170" s="33" t="s">
        <v>32</v>
      </c>
      <c r="C170" s="33" t="s">
        <v>41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OTT</v>
      </c>
    </row>
    <row r="171" spans="1:36" ht="12.75">
      <c r="A171" s="6">
        <v>9.16</v>
      </c>
      <c r="B171" s="33" t="s">
        <v>32</v>
      </c>
      <c r="C171" s="33" t="s">
        <v>53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OTT</v>
      </c>
    </row>
    <row r="172" spans="1:36" ht="12.75">
      <c r="A172" s="6">
        <v>9.17</v>
      </c>
      <c r="B172" s="33" t="s">
        <v>32</v>
      </c>
      <c r="C172" s="33" t="s">
        <v>53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OTT</v>
      </c>
    </row>
    <row r="173" spans="1:36" ht="12.75">
      <c r="A173" s="6">
        <v>9.18</v>
      </c>
      <c r="B173" s="33" t="s">
        <v>32</v>
      </c>
      <c r="C173" s="33" t="s">
        <v>53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OTT</v>
      </c>
    </row>
    <row r="174" spans="1:36" ht="12.75">
      <c r="A174" s="6">
        <v>9.19</v>
      </c>
      <c r="B174" s="33" t="s">
        <v>32</v>
      </c>
      <c r="C174" s="33" t="s">
        <v>13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OTT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 t="s">
        <v>32</v>
      </c>
      <c r="C176" s="33" t="s">
        <v>13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OTT</v>
      </c>
    </row>
    <row r="177" spans="1:36" ht="12.75">
      <c r="A177" s="6">
        <v>9.2200000000000006</v>
      </c>
      <c r="B177" s="33" t="s">
        <v>32</v>
      </c>
      <c r="C177" s="33" t="s">
        <v>13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OTT</v>
      </c>
    </row>
    <row r="178" spans="1:36" ht="12.75">
      <c r="A178" s="6">
        <v>9.23</v>
      </c>
      <c r="B178" s="33" t="s">
        <v>32</v>
      </c>
      <c r="C178" s="33" t="s">
        <v>13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OTT</v>
      </c>
    </row>
    <row r="179" spans="1:36" ht="12.75">
      <c r="A179" s="6">
        <v>9.24</v>
      </c>
      <c r="B179" s="33"/>
      <c r="C179" s="33" t="s">
        <v>14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OTT</v>
      </c>
    </row>
    <row r="180" spans="1:36" ht="12.75">
      <c r="A180" s="6">
        <v>9.25</v>
      </c>
      <c r="B180" s="33"/>
      <c r="C180" s="33" t="s">
        <v>14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OTT</v>
      </c>
    </row>
    <row r="181" spans="1:36" ht="12.75">
      <c r="A181" s="6">
        <v>9.26</v>
      </c>
      <c r="B181" s="33"/>
      <c r="C181" s="33" t="s">
        <v>14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OTT</v>
      </c>
    </row>
    <row r="182" spans="1:36" ht="12.75">
      <c r="A182" s="6">
        <v>9.27</v>
      </c>
      <c r="B182" s="33" t="s">
        <v>32</v>
      </c>
      <c r="C182" s="33" t="s">
        <v>12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OTT</v>
      </c>
    </row>
    <row r="183" spans="1:36" ht="12.75">
      <c r="A183" s="6">
        <v>9.2799999999999994</v>
      </c>
      <c r="B183" s="33" t="s">
        <v>32</v>
      </c>
      <c r="C183" s="33" t="s">
        <v>12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OTT</v>
      </c>
    </row>
    <row r="184" spans="1:36" ht="12.75">
      <c r="A184" s="6">
        <v>9.2899999999999991</v>
      </c>
      <c r="B184" s="33" t="s">
        <v>32</v>
      </c>
      <c r="C184" s="33" t="s">
        <v>12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OTT</v>
      </c>
    </row>
    <row r="185" spans="1:36" ht="12.75">
      <c r="A185" s="6">
        <v>9.3000000000000007</v>
      </c>
      <c r="B185" s="33" t="s">
        <v>32</v>
      </c>
      <c r="C185" s="33" t="s">
        <v>12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OTT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K197" s="2"/>
      <c r="AJ197" s="2"/>
    </row>
    <row r="198" spans="3:36">
      <c r="C198" s="2"/>
      <c r="K198" s="2"/>
      <c r="AJ198" s="2"/>
    </row>
    <row r="199" spans="3:36">
      <c r="C199" s="2"/>
      <c r="K199" s="2"/>
      <c r="AJ199" s="2"/>
    </row>
    <row r="200" spans="3:36">
      <c r="C200" s="2"/>
      <c r="K200" s="2"/>
      <c r="AJ200" s="2"/>
    </row>
    <row r="201" spans="3:36">
      <c r="C201" s="2"/>
      <c r="K201" s="2"/>
      <c r="AJ201" s="2"/>
    </row>
    <row r="202" spans="3:36">
      <c r="C202" s="2"/>
      <c r="K202" s="2"/>
      <c r="AJ202" s="2"/>
    </row>
    <row r="203" spans="3:36">
      <c r="C203" s="2"/>
      <c r="K203" s="2"/>
      <c r="AJ203" s="2"/>
    </row>
    <row r="204" spans="3:36">
      <c r="C204" s="2"/>
      <c r="AJ204" s="2"/>
    </row>
    <row r="205" spans="3:36">
      <c r="C205" s="2"/>
      <c r="AJ205" s="2"/>
    </row>
    <row r="206" spans="3:36">
      <c r="C206" s="2"/>
      <c r="AJ206" s="2"/>
    </row>
    <row r="207" spans="3:36">
      <c r="C207" s="2"/>
      <c r="AJ207" s="2"/>
    </row>
    <row r="208" spans="3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  <row r="218" spans="3:36">
      <c r="C218" s="2"/>
    </row>
    <row r="219" spans="3:36">
      <c r="C219" s="2"/>
    </row>
    <row r="220" spans="3:36">
      <c r="C220" s="2"/>
    </row>
    <row r="221" spans="3:36">
      <c r="C221" s="2"/>
    </row>
    <row r="222" spans="3:36">
      <c r="C222" s="2"/>
    </row>
    <row r="223" spans="3:36">
      <c r="C223" s="2"/>
    </row>
    <row r="224" spans="3:36">
      <c r="C224" s="2"/>
    </row>
    <row r="225" spans="3:3">
      <c r="C225" s="2"/>
    </row>
    <row r="226" spans="3:3">
      <c r="C226" s="2"/>
    </row>
  </sheetData>
  <phoneticPr fontId="5" type="noConversion"/>
  <conditionalFormatting sqref="AK3:AK22">
    <cfRule type="cellIs" dxfId="2539" priority="757" stopIfTrue="1" operator="equal">
      <formula>"must average at least 5 innings per start"</formula>
    </cfRule>
  </conditionalFormatting>
  <conditionalFormatting sqref="AK23">
    <cfRule type="cellIs" dxfId="2538" priority="758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37" priority="759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2536" priority="760" stopIfTrue="1" operator="equal">
      <formula>"input a different starter in column C"</formula>
    </cfRule>
  </conditionalFormatting>
  <conditionalFormatting sqref="AH3:AH22">
    <cfRule type="cellIs" dxfId="2535" priority="347" stopIfTrue="1" operator="equal">
      <formula>"must average at least 5 innings per start"</formula>
    </cfRule>
  </conditionalFormatting>
  <conditionalFormatting sqref="AH23">
    <cfRule type="cellIs" dxfId="2534" priority="346" stopIfTrue="1" operator="equal">
      <formula>"must have 162 starts"</formula>
    </cfRule>
  </conditionalFormatting>
  <conditionalFormatting sqref="AG3:AG22">
    <cfRule type="cellIs" dxfId="2533" priority="345" stopIfTrue="1" operator="equal">
      <formula>"must average at least 5 innings per start"</formula>
    </cfRule>
  </conditionalFormatting>
  <conditionalFormatting sqref="AG23">
    <cfRule type="cellIs" dxfId="2532" priority="344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31" priority="34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30" priority="34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9" priority="34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8" priority="34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7" priority="33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6" priority="33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5" priority="33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4" priority="33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3" priority="33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2" priority="33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1" priority="33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20" priority="33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19" priority="33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18" priority="33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17" priority="32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16" priority="32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15" priority="32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514" priority="326" stopIfTrue="1" operator="equal">
      <formula>"input starter in column C"</formula>
    </cfRule>
  </conditionalFormatting>
  <conditionalFormatting sqref="P3">
    <cfRule type="cellIs" dxfId="2513" priority="325" stopIfTrue="1" operator="equal">
      <formula>"input starter in column D"</formula>
    </cfRule>
  </conditionalFormatting>
  <conditionalFormatting sqref="P4">
    <cfRule type="cellIs" dxfId="2512" priority="324" stopIfTrue="1" operator="equal">
      <formula>"input starter in column D"</formula>
    </cfRule>
  </conditionalFormatting>
  <conditionalFormatting sqref="P5">
    <cfRule type="cellIs" dxfId="2511" priority="323" stopIfTrue="1" operator="equal">
      <formula>"INPUT STARTER IN COLUMN D"</formula>
    </cfRule>
  </conditionalFormatting>
  <conditionalFormatting sqref="P6">
    <cfRule type="cellIs" dxfId="2510" priority="322" stopIfTrue="1" operator="equal">
      <formula>"INPUT STARTER IN COLUMN D"</formula>
    </cfRule>
  </conditionalFormatting>
  <conditionalFormatting sqref="P8">
    <cfRule type="cellIs" dxfId="2509" priority="321" stopIfTrue="1" operator="equal">
      <formula>"INPUT STARTER IN COLUMN D"</formula>
    </cfRule>
  </conditionalFormatting>
  <conditionalFormatting sqref="P9">
    <cfRule type="cellIs" dxfId="2508" priority="320" stopIfTrue="1" operator="equal">
      <formula>"INPUT STARTER IN COLUMN D"</formula>
    </cfRule>
  </conditionalFormatting>
  <conditionalFormatting sqref="P10">
    <cfRule type="cellIs" dxfId="2507" priority="319" stopIfTrue="1" operator="equal">
      <formula>"INPUT STARTER IN COLUMN D"</formula>
    </cfRule>
  </conditionalFormatting>
  <conditionalFormatting sqref="P11">
    <cfRule type="cellIs" dxfId="2506" priority="318" stopIfTrue="1" operator="equal">
      <formula>"INPUT STARTER IN COLUMN D"</formula>
    </cfRule>
  </conditionalFormatting>
  <conditionalFormatting sqref="P13">
    <cfRule type="cellIs" dxfId="2505" priority="317" stopIfTrue="1" operator="equal">
      <formula>"INPUT STARTER IN COLUMN D"</formula>
    </cfRule>
  </conditionalFormatting>
  <conditionalFormatting sqref="P14">
    <cfRule type="cellIs" dxfId="2504" priority="316" stopIfTrue="1" operator="equal">
      <formula>"INPUT STARTER IN COLUMN D"</formula>
    </cfRule>
  </conditionalFormatting>
  <conditionalFormatting sqref="P15">
    <cfRule type="cellIs" dxfId="2503" priority="315" stopIfTrue="1" operator="equal">
      <formula>"INPUT STARTER IN COLUMN D"</formula>
    </cfRule>
  </conditionalFormatting>
  <conditionalFormatting sqref="P16">
    <cfRule type="cellIs" dxfId="2502" priority="314" stopIfTrue="1" operator="equal">
      <formula>"INPUT STARTER IN COLUMN D"</formula>
    </cfRule>
  </conditionalFormatting>
  <conditionalFormatting sqref="P18">
    <cfRule type="cellIs" dxfId="2501" priority="313" stopIfTrue="1" operator="equal">
      <formula>"INPUT STARTER IN COLUMN D"</formula>
    </cfRule>
  </conditionalFormatting>
  <conditionalFormatting sqref="P19">
    <cfRule type="cellIs" dxfId="2500" priority="312" stopIfTrue="1" operator="equal">
      <formula>"INPUT STARTER IN COLUMN D"</formula>
    </cfRule>
  </conditionalFormatting>
  <conditionalFormatting sqref="P20">
    <cfRule type="cellIs" dxfId="2499" priority="311" stopIfTrue="1" operator="equal">
      <formula>"INPUT STARTER IN COLUMN D"</formula>
    </cfRule>
  </conditionalFormatting>
  <conditionalFormatting sqref="P21">
    <cfRule type="cellIs" dxfId="2498" priority="310" stopIfTrue="1" operator="equal">
      <formula>"INPUT STARTER IN COLUMN D"</formula>
    </cfRule>
  </conditionalFormatting>
  <conditionalFormatting sqref="P23">
    <cfRule type="cellIs" dxfId="2497" priority="309" stopIfTrue="1" operator="equal">
      <formula>"INPUT STARTER IN COLUMN D"</formula>
    </cfRule>
  </conditionalFormatting>
  <conditionalFormatting sqref="P24">
    <cfRule type="cellIs" dxfId="2496" priority="308" stopIfTrue="1" operator="equal">
      <formula>"INPUT STARTER IN COLUMN D"</formula>
    </cfRule>
  </conditionalFormatting>
  <conditionalFormatting sqref="P25">
    <cfRule type="cellIs" dxfId="2495" priority="307" stopIfTrue="1" operator="equal">
      <formula>"INPUT STARTER IN COLUMN D"</formula>
    </cfRule>
  </conditionalFormatting>
  <conditionalFormatting sqref="P26">
    <cfRule type="cellIs" dxfId="2494" priority="306" stopIfTrue="1" operator="equal">
      <formula>"INPUT STARTER IN COLUMN D"</formula>
    </cfRule>
  </conditionalFormatting>
  <conditionalFormatting sqref="P28">
    <cfRule type="cellIs" dxfId="2493" priority="305" stopIfTrue="1" operator="equal">
      <formula>"INPUT STARTER IN COLUMN D"</formula>
    </cfRule>
  </conditionalFormatting>
  <conditionalFormatting sqref="P29">
    <cfRule type="cellIs" dxfId="2492" priority="304" stopIfTrue="1" operator="equal">
      <formula>"INPUT STARTER IN COLUMN D"</formula>
    </cfRule>
  </conditionalFormatting>
  <conditionalFormatting sqref="P30">
    <cfRule type="cellIs" dxfId="2491" priority="303" stopIfTrue="1" operator="equal">
      <formula>"INPUT STARTER IN COLUMN D"</formula>
    </cfRule>
  </conditionalFormatting>
  <conditionalFormatting sqref="P31">
    <cfRule type="cellIs" dxfId="2490" priority="302" stopIfTrue="1" operator="equal">
      <formula>"INPUT STARTER IN COLUMN D"</formula>
    </cfRule>
  </conditionalFormatting>
  <conditionalFormatting sqref="P33">
    <cfRule type="cellIs" dxfId="2489" priority="301" stopIfTrue="1" operator="equal">
      <formula>"INPUT STARTER IN COLUMN D"</formula>
    </cfRule>
  </conditionalFormatting>
  <conditionalFormatting sqref="P34">
    <cfRule type="cellIs" dxfId="2488" priority="300" stopIfTrue="1" operator="equal">
      <formula>"INPUT STARTER IN COLUMN D"</formula>
    </cfRule>
  </conditionalFormatting>
  <conditionalFormatting sqref="P35">
    <cfRule type="cellIs" dxfId="2487" priority="299" stopIfTrue="1" operator="equal">
      <formula>"INPUT STARTER IN COLUMN D"</formula>
    </cfRule>
  </conditionalFormatting>
  <conditionalFormatting sqref="P36">
    <cfRule type="cellIs" dxfId="2486" priority="298" stopIfTrue="1" operator="equal">
      <formula>"INPUT STARTER IN COLUMN D"</formula>
    </cfRule>
  </conditionalFormatting>
  <conditionalFormatting sqref="P37">
    <cfRule type="cellIs" dxfId="2485" priority="297" stopIfTrue="1" operator="equal">
      <formula>"INPUT STARTER IN COLUMN D"</formula>
    </cfRule>
  </conditionalFormatting>
  <conditionalFormatting sqref="P38">
    <cfRule type="cellIs" dxfId="2484" priority="296" stopIfTrue="1" operator="equal">
      <formula>"INPUT STARTER IN COLUMN D"</formula>
    </cfRule>
  </conditionalFormatting>
  <conditionalFormatting sqref="P39">
    <cfRule type="cellIs" dxfId="2483" priority="295" stopIfTrue="1" operator="equal">
      <formula>"INPUT STARTER IN COLUMN D"</formula>
    </cfRule>
  </conditionalFormatting>
  <conditionalFormatting sqref="P40">
    <cfRule type="cellIs" dxfId="2482" priority="294" stopIfTrue="1" operator="equal">
      <formula>"INPUT STARTER IN COLUMN D"</formula>
    </cfRule>
  </conditionalFormatting>
  <conditionalFormatting sqref="P42">
    <cfRule type="cellIs" dxfId="2481" priority="293" stopIfTrue="1" operator="equal">
      <formula>"INPUT STARTER IN COLUMN D"</formula>
    </cfRule>
  </conditionalFormatting>
  <conditionalFormatting sqref="P43">
    <cfRule type="cellIs" dxfId="2480" priority="292" stopIfTrue="1" operator="equal">
      <formula>"INPUT STARTER IN COLUMN D"</formula>
    </cfRule>
  </conditionalFormatting>
  <conditionalFormatting sqref="P44">
    <cfRule type="cellIs" dxfId="2479" priority="291" stopIfTrue="1" operator="equal">
      <formula>"INPUT STARTER IN COLUMN D"</formula>
    </cfRule>
  </conditionalFormatting>
  <conditionalFormatting sqref="P45">
    <cfRule type="cellIs" dxfId="2478" priority="290" stopIfTrue="1" operator="equal">
      <formula>"INPUT STARTER IN COLUMN D"</formula>
    </cfRule>
  </conditionalFormatting>
  <conditionalFormatting sqref="P46">
    <cfRule type="cellIs" dxfId="2477" priority="289" stopIfTrue="1" operator="equal">
      <formula>"INPUT STARTER IN COLUMN D"</formula>
    </cfRule>
  </conditionalFormatting>
  <conditionalFormatting sqref="P47">
    <cfRule type="cellIs" dxfId="2476" priority="288" stopIfTrue="1" operator="equal">
      <formula>"INPUT STARTER IN COLUMN D"</formula>
    </cfRule>
  </conditionalFormatting>
  <conditionalFormatting sqref="P49">
    <cfRule type="cellIs" dxfId="2475" priority="287" stopIfTrue="1" operator="equal">
      <formula>"INPUT STARTER IN COLUMN D"</formula>
    </cfRule>
  </conditionalFormatting>
  <conditionalFormatting sqref="P50">
    <cfRule type="cellIs" dxfId="2474" priority="286" stopIfTrue="1" operator="equal">
      <formula>"INPUT STARTER IN COLUMN D"</formula>
    </cfRule>
  </conditionalFormatting>
  <conditionalFormatting sqref="P51">
    <cfRule type="cellIs" dxfId="2473" priority="285" stopIfTrue="1" operator="equal">
      <formula>"INPUT STARTER IN COLUMN D"</formula>
    </cfRule>
  </conditionalFormatting>
  <conditionalFormatting sqref="P52">
    <cfRule type="cellIs" dxfId="2472" priority="284" stopIfTrue="1" operator="equal">
      <formula>"INPUT STARTER IN COLUMN D"</formula>
    </cfRule>
  </conditionalFormatting>
  <conditionalFormatting sqref="P53">
    <cfRule type="cellIs" dxfId="2471" priority="283" stopIfTrue="1" operator="equal">
      <formula>"INPUT STARTER IN COLUMN D"</formula>
    </cfRule>
  </conditionalFormatting>
  <conditionalFormatting sqref="P54">
    <cfRule type="cellIs" dxfId="2470" priority="282" stopIfTrue="1" operator="equal">
      <formula>"INPUT STARTER IN COLUMN D"</formula>
    </cfRule>
  </conditionalFormatting>
  <conditionalFormatting sqref="P56">
    <cfRule type="cellIs" dxfId="2469" priority="281" stopIfTrue="1" operator="equal">
      <formula>"INPUT STARTER IN COLUMN D"</formula>
    </cfRule>
  </conditionalFormatting>
  <conditionalFormatting sqref="P57">
    <cfRule type="cellIs" dxfId="2468" priority="280" stopIfTrue="1" operator="equal">
      <formula>"INPUT STARTER IN COLUMN D"</formula>
    </cfRule>
  </conditionalFormatting>
  <conditionalFormatting sqref="P58">
    <cfRule type="cellIs" dxfId="2467" priority="279" stopIfTrue="1" operator="equal">
      <formula>"INPUT STARTER IN COLUMN D"</formula>
    </cfRule>
  </conditionalFormatting>
  <conditionalFormatting sqref="P59">
    <cfRule type="cellIs" dxfId="2466" priority="278" stopIfTrue="1" operator="equal">
      <formula>"INPUT STARTER IN COLUMN D"</formula>
    </cfRule>
  </conditionalFormatting>
  <conditionalFormatting sqref="P60">
    <cfRule type="cellIs" dxfId="2465" priority="277" stopIfTrue="1" operator="equal">
      <formula>"INPUT STARTER IN COLUMN D"</formula>
    </cfRule>
  </conditionalFormatting>
  <conditionalFormatting sqref="P61">
    <cfRule type="cellIs" dxfId="2464" priority="276" stopIfTrue="1" operator="equal">
      <formula>"INPUT STARTER IN COLUMN D"</formula>
    </cfRule>
  </conditionalFormatting>
  <conditionalFormatting sqref="P63">
    <cfRule type="cellIs" dxfId="2463" priority="275" stopIfTrue="1" operator="equal">
      <formula>"INPUT STARTER IN COLUMN D"</formula>
    </cfRule>
  </conditionalFormatting>
  <conditionalFormatting sqref="P64">
    <cfRule type="cellIs" dxfId="2462" priority="274" stopIfTrue="1" operator="equal">
      <formula>"INPUT STARTER IN COLUMN D"</formula>
    </cfRule>
  </conditionalFormatting>
  <conditionalFormatting sqref="P65">
    <cfRule type="cellIs" dxfId="2461" priority="273" stopIfTrue="1" operator="equal">
      <formula>"INPUT STARTER IN COLUMN D"</formula>
    </cfRule>
  </conditionalFormatting>
  <conditionalFormatting sqref="P66">
    <cfRule type="cellIs" dxfId="2460" priority="272" stopIfTrue="1" operator="equal">
      <formula>"INPUT STARTER IN COLUMN D"</formula>
    </cfRule>
  </conditionalFormatting>
  <conditionalFormatting sqref="P67">
    <cfRule type="cellIs" dxfId="2459" priority="271" stopIfTrue="1" operator="equal">
      <formula>"INPUT STARTER IN COLUMN D"</formula>
    </cfRule>
  </conditionalFormatting>
  <conditionalFormatting sqref="P68">
    <cfRule type="cellIs" dxfId="2458" priority="270" stopIfTrue="1" operator="equal">
      <formula>"INPUT STARTER IN COLUMN D"</formula>
    </cfRule>
  </conditionalFormatting>
  <conditionalFormatting sqref="P69">
    <cfRule type="cellIs" dxfId="2457" priority="269" stopIfTrue="1" operator="equal">
      <formula>"INPUT STARTER IN COLUMN D"</formula>
    </cfRule>
  </conditionalFormatting>
  <conditionalFormatting sqref="P71">
    <cfRule type="cellIs" dxfId="2456" priority="268" stopIfTrue="1" operator="equal">
      <formula>"INPUT STARTER IN COLUMN D"</formula>
    </cfRule>
  </conditionalFormatting>
  <conditionalFormatting sqref="P72">
    <cfRule type="cellIs" dxfId="2455" priority="267" stopIfTrue="1" operator="equal">
      <formula>"INPUT STARTER IN COLUMN D"</formula>
    </cfRule>
  </conditionalFormatting>
  <conditionalFormatting sqref="P73">
    <cfRule type="cellIs" dxfId="2454" priority="266" stopIfTrue="1" operator="equal">
      <formula>"INPUT STARTER IN COLUMN D"</formula>
    </cfRule>
  </conditionalFormatting>
  <conditionalFormatting sqref="P74">
    <cfRule type="cellIs" dxfId="2453" priority="265" stopIfTrue="1" operator="equal">
      <formula>"INPUT STARTER IN COLUMN D"</formula>
    </cfRule>
  </conditionalFormatting>
  <conditionalFormatting sqref="P75">
    <cfRule type="cellIs" dxfId="2452" priority="264" stopIfTrue="1" operator="equal">
      <formula>"INPUT STARTER IN COLUMN D"</formula>
    </cfRule>
  </conditionalFormatting>
  <conditionalFormatting sqref="P76">
    <cfRule type="cellIs" dxfId="2451" priority="263" stopIfTrue="1" operator="equal">
      <formula>"INPUT STARTER IN COLUMN D"</formula>
    </cfRule>
  </conditionalFormatting>
  <conditionalFormatting sqref="P77">
    <cfRule type="cellIs" dxfId="2450" priority="262" stopIfTrue="1" operator="equal">
      <formula>"INPUT STARTER IN COLUMN D"</formula>
    </cfRule>
  </conditionalFormatting>
  <conditionalFormatting sqref="P78">
    <cfRule type="cellIs" dxfId="2449" priority="261" stopIfTrue="1" operator="equal">
      <formula>"INPUT STARTER IN COLUMN D"</formula>
    </cfRule>
  </conditionalFormatting>
  <conditionalFormatting sqref="P79">
    <cfRule type="cellIs" dxfId="2448" priority="260" stopIfTrue="1" operator="equal">
      <formula>"INPUT STARTER IN COLUMN D"</formula>
    </cfRule>
  </conditionalFormatting>
  <conditionalFormatting sqref="P80">
    <cfRule type="cellIs" dxfId="2447" priority="259" stopIfTrue="1" operator="equal">
      <formula>"INPUT STARTER IN COLUMN D"</formula>
    </cfRule>
  </conditionalFormatting>
  <conditionalFormatting sqref="P81">
    <cfRule type="cellIs" dxfId="2446" priority="258" stopIfTrue="1" operator="equal">
      <formula>"INPUT STARTER IN COLUMN D"</formula>
    </cfRule>
  </conditionalFormatting>
  <conditionalFormatting sqref="P82">
    <cfRule type="cellIs" dxfId="2445" priority="257" stopIfTrue="1" operator="equal">
      <formula>"INPUT STARTER IN COLUMN D"</formula>
    </cfRule>
  </conditionalFormatting>
  <conditionalFormatting sqref="P84">
    <cfRule type="cellIs" dxfId="2444" priority="256" stopIfTrue="1" operator="equal">
      <formula>"INPUT STARTER IN COLUMN D"</formula>
    </cfRule>
  </conditionalFormatting>
  <conditionalFormatting sqref="P85">
    <cfRule type="cellIs" dxfId="2443" priority="255" stopIfTrue="1" operator="equal">
      <formula>"INPUT STARTER IN COLUMN D"</formula>
    </cfRule>
  </conditionalFormatting>
  <conditionalFormatting sqref="P86">
    <cfRule type="cellIs" dxfId="2442" priority="254" stopIfTrue="1" operator="equal">
      <formula>"INPUT STARTER IN COLUMN D"</formula>
    </cfRule>
  </conditionalFormatting>
  <conditionalFormatting sqref="P87">
    <cfRule type="cellIs" dxfId="2441" priority="253" stopIfTrue="1" operator="equal">
      <formula>"INPUT STARTER IN COLUMN D"</formula>
    </cfRule>
  </conditionalFormatting>
  <conditionalFormatting sqref="P88">
    <cfRule type="cellIs" dxfId="2440" priority="252" stopIfTrue="1" operator="equal">
      <formula>"INPUT STARTER IN COLUMN D"</formula>
    </cfRule>
  </conditionalFormatting>
  <conditionalFormatting sqref="P89">
    <cfRule type="cellIs" dxfId="2439" priority="251" stopIfTrue="1" operator="equal">
      <formula>"INPUT STARTER IN COLUMN D"</formula>
    </cfRule>
  </conditionalFormatting>
  <conditionalFormatting sqref="P91">
    <cfRule type="cellIs" dxfId="2438" priority="250" stopIfTrue="1" operator="equal">
      <formula>"INPUT STARTER IN COLUMN D"</formula>
    </cfRule>
  </conditionalFormatting>
  <conditionalFormatting sqref="P92">
    <cfRule type="cellIs" dxfId="2437" priority="249" stopIfTrue="1" operator="equal">
      <formula>"INPUT STARTER IN COLUMN D"</formula>
    </cfRule>
  </conditionalFormatting>
  <conditionalFormatting sqref="P93">
    <cfRule type="cellIs" dxfId="2436" priority="248" stopIfTrue="1" operator="equal">
      <formula>"INPUT STARTER IN COLUMN D"</formula>
    </cfRule>
  </conditionalFormatting>
  <conditionalFormatting sqref="P94">
    <cfRule type="cellIs" dxfId="2435" priority="247" stopIfTrue="1" operator="equal">
      <formula>"INPUT STARTER IN COLUMN D"</formula>
    </cfRule>
  </conditionalFormatting>
  <conditionalFormatting sqref="P95">
    <cfRule type="cellIs" dxfId="2434" priority="246" stopIfTrue="1" operator="equal">
      <formula>"INPUT STARTER IN COLUMN D"</formula>
    </cfRule>
  </conditionalFormatting>
  <conditionalFormatting sqref="P96">
    <cfRule type="cellIs" dxfId="2433" priority="245" stopIfTrue="1" operator="equal">
      <formula>"INPUT STARTER IN COLUMN D"</formula>
    </cfRule>
  </conditionalFormatting>
  <conditionalFormatting sqref="P97">
    <cfRule type="cellIs" dxfId="2432" priority="244" stopIfTrue="1" operator="equal">
      <formula>"INPUT STARTER IN COLUMN D"</formula>
    </cfRule>
  </conditionalFormatting>
  <conditionalFormatting sqref="P98">
    <cfRule type="cellIs" dxfId="2431" priority="243" stopIfTrue="1" operator="equal">
      <formula>"INPUT STARTER IN COLUMN D"</formula>
    </cfRule>
  </conditionalFormatting>
  <conditionalFormatting sqref="P99">
    <cfRule type="cellIs" dxfId="2430" priority="242" stopIfTrue="1" operator="equal">
      <formula>"INPUT STARTER IN COLUMN D"</formula>
    </cfRule>
  </conditionalFormatting>
  <conditionalFormatting sqref="P100">
    <cfRule type="cellIs" dxfId="2429" priority="241" stopIfTrue="1" operator="equal">
      <formula>"INPUT STARTER IN COLUMN D"</formula>
    </cfRule>
  </conditionalFormatting>
  <conditionalFormatting sqref="P101">
    <cfRule type="cellIs" dxfId="2428" priority="240" stopIfTrue="1" operator="equal">
      <formula>"INPUT STARTER IN COLUMN D"</formula>
    </cfRule>
  </conditionalFormatting>
  <conditionalFormatting sqref="P102">
    <cfRule type="cellIs" dxfId="2427" priority="239" stopIfTrue="1" operator="equal">
      <formula>"INPUT STARTER IN COLUMN D"</formula>
    </cfRule>
  </conditionalFormatting>
  <conditionalFormatting sqref="P106">
    <cfRule type="cellIs" dxfId="2426" priority="238" stopIfTrue="1" operator="equal">
      <formula>"INPUT STARTER IN COLUMN D"</formula>
    </cfRule>
  </conditionalFormatting>
  <conditionalFormatting sqref="P107">
    <cfRule type="cellIs" dxfId="2425" priority="237" stopIfTrue="1" operator="equal">
      <formula>"INPUT STARTER IN COLUMN D"</formula>
    </cfRule>
  </conditionalFormatting>
  <conditionalFormatting sqref="P108">
    <cfRule type="cellIs" dxfId="2424" priority="236" stopIfTrue="1" operator="equal">
      <formula>"INPUT STARTER IN COLUMN D"</formula>
    </cfRule>
  </conditionalFormatting>
  <conditionalFormatting sqref="P109">
    <cfRule type="cellIs" dxfId="2423" priority="235" stopIfTrue="1" operator="equal">
      <formula>"INPUT STARTER IN COLUMN D"</formula>
    </cfRule>
  </conditionalFormatting>
  <conditionalFormatting sqref="P110">
    <cfRule type="cellIs" dxfId="2422" priority="234" stopIfTrue="1" operator="equal">
      <formula>"INPUT STARTER IN COLUMN D"</formula>
    </cfRule>
  </conditionalFormatting>
  <conditionalFormatting sqref="P111">
    <cfRule type="cellIs" dxfId="2421" priority="233" stopIfTrue="1" operator="equal">
      <formula>"INPUT STARTER IN COLUMN D"</formula>
    </cfRule>
  </conditionalFormatting>
  <conditionalFormatting sqref="P112">
    <cfRule type="cellIs" dxfId="2420" priority="232" stopIfTrue="1" operator="equal">
      <formula>"INPUT STARTER IN COLUMN D"</formula>
    </cfRule>
  </conditionalFormatting>
  <conditionalFormatting sqref="P113">
    <cfRule type="cellIs" dxfId="2419" priority="231" stopIfTrue="1" operator="equal">
      <formula>"INPUT STARTER IN COLUMN D"</formula>
    </cfRule>
  </conditionalFormatting>
  <conditionalFormatting sqref="P114">
    <cfRule type="cellIs" dxfId="2418" priority="230" stopIfTrue="1" operator="equal">
      <formula>"INPUT STARTER IN COLUMN D"</formula>
    </cfRule>
  </conditionalFormatting>
  <conditionalFormatting sqref="P115">
    <cfRule type="cellIs" dxfId="2417" priority="229" stopIfTrue="1" operator="equal">
      <formula>"INPUT STARTER IN COLUMN D"</formula>
    </cfRule>
  </conditionalFormatting>
  <conditionalFormatting sqref="P116">
    <cfRule type="cellIs" dxfId="2416" priority="228" stopIfTrue="1" operator="equal">
      <formula>"INPUT STARTER IN COLUMN D"</formula>
    </cfRule>
  </conditionalFormatting>
  <conditionalFormatting sqref="P117">
    <cfRule type="cellIs" dxfId="2415" priority="227" stopIfTrue="1" operator="equal">
      <formula>"INPUT STARTER IN COLUMN D"</formula>
    </cfRule>
  </conditionalFormatting>
  <conditionalFormatting sqref="P118">
    <cfRule type="cellIs" dxfId="2414" priority="226" stopIfTrue="1" operator="equal">
      <formula>"INPUT STARTER IN COLUMN D"</formula>
    </cfRule>
  </conditionalFormatting>
  <conditionalFormatting sqref="P119">
    <cfRule type="cellIs" dxfId="2413" priority="225" stopIfTrue="1" operator="equal">
      <formula>"INPUT STARTER IN COLUMN D"</formula>
    </cfRule>
  </conditionalFormatting>
  <conditionalFormatting sqref="P120">
    <cfRule type="cellIs" dxfId="2412" priority="224" stopIfTrue="1" operator="equal">
      <formula>"INPUT STARTER IN COLUMN D"</formula>
    </cfRule>
  </conditionalFormatting>
  <conditionalFormatting sqref="P121">
    <cfRule type="cellIs" dxfId="2411" priority="223" stopIfTrue="1" operator="equal">
      <formula>"INPUT STARTER IN COLUMN D"</formula>
    </cfRule>
  </conditionalFormatting>
  <conditionalFormatting sqref="P122">
    <cfRule type="cellIs" dxfId="2410" priority="222" stopIfTrue="1" operator="equal">
      <formula>"INPUT STARTER IN COLUMN D"</formula>
    </cfRule>
  </conditionalFormatting>
  <conditionalFormatting sqref="P123">
    <cfRule type="cellIs" dxfId="2409" priority="221" stopIfTrue="1" operator="equal">
      <formula>"INPUT STARTER IN COLUMN D"</formula>
    </cfRule>
  </conditionalFormatting>
  <conditionalFormatting sqref="P125">
    <cfRule type="cellIs" dxfId="2408" priority="220" stopIfTrue="1" operator="equal">
      <formula>"INPUT STARTER IN COLUMN D"</formula>
    </cfRule>
  </conditionalFormatting>
  <conditionalFormatting sqref="P126">
    <cfRule type="cellIs" dxfId="2407" priority="219" stopIfTrue="1" operator="equal">
      <formula>"INPUT STARTER IN COLUMN D"</formula>
    </cfRule>
  </conditionalFormatting>
  <conditionalFormatting sqref="P127">
    <cfRule type="cellIs" dxfId="2406" priority="218" stopIfTrue="1" operator="equal">
      <formula>"INPUT STARTER IN COLUMN D"</formula>
    </cfRule>
  </conditionalFormatting>
  <conditionalFormatting sqref="P128">
    <cfRule type="cellIs" dxfId="2405" priority="217" stopIfTrue="1" operator="equal">
      <formula>"INPUT STARTER IN COLUMN D"</formula>
    </cfRule>
  </conditionalFormatting>
  <conditionalFormatting sqref="P129">
    <cfRule type="cellIs" dxfId="2404" priority="216" stopIfTrue="1" operator="equal">
      <formula>"INPUT STARTER IN COLUMN D"</formula>
    </cfRule>
  </conditionalFormatting>
  <conditionalFormatting sqref="P130">
    <cfRule type="cellIs" dxfId="2403" priority="215" stopIfTrue="1" operator="equal">
      <formula>"INPUT STARTER IN COLUMN D"</formula>
    </cfRule>
  </conditionalFormatting>
  <conditionalFormatting sqref="P131">
    <cfRule type="cellIs" dxfId="2402" priority="214" stopIfTrue="1" operator="equal">
      <formula>"INPUT STARTER IN COLUMN D"</formula>
    </cfRule>
  </conditionalFormatting>
  <conditionalFormatting sqref="P132">
    <cfRule type="cellIs" dxfId="2401" priority="213" stopIfTrue="1" operator="equal">
      <formula>"INPUT STARTER IN COLUMN D"</formula>
    </cfRule>
  </conditionalFormatting>
  <conditionalFormatting sqref="P133">
    <cfRule type="cellIs" dxfId="2400" priority="212" stopIfTrue="1" operator="equal">
      <formula>"INPUT STARTER IN COLUMN D"</formula>
    </cfRule>
  </conditionalFormatting>
  <conditionalFormatting sqref="P134">
    <cfRule type="cellIs" dxfId="2399" priority="211" stopIfTrue="1" operator="equal">
      <formula>"INPUT STARTER IN COLUMN D"</formula>
    </cfRule>
  </conditionalFormatting>
  <conditionalFormatting sqref="P135">
    <cfRule type="cellIs" dxfId="2398" priority="210" stopIfTrue="1" operator="equal">
      <formula>"INPUT STARTER IN COLUMN D"</formula>
    </cfRule>
  </conditionalFormatting>
  <conditionalFormatting sqref="P136">
    <cfRule type="cellIs" dxfId="2397" priority="209" stopIfTrue="1" operator="equal">
      <formula>"INPUT STARTER IN COLUMN D"</formula>
    </cfRule>
  </conditionalFormatting>
  <conditionalFormatting sqref="P137">
    <cfRule type="cellIs" dxfId="2396" priority="208" stopIfTrue="1" operator="equal">
      <formula>"INPUT STARTER IN COLUMN D"</formula>
    </cfRule>
  </conditionalFormatting>
  <conditionalFormatting sqref="P139">
    <cfRule type="cellIs" dxfId="2395" priority="207" stopIfTrue="1" operator="equal">
      <formula>"INPUT STARTER IN COLUMN D"</formula>
    </cfRule>
  </conditionalFormatting>
  <conditionalFormatting sqref="P140">
    <cfRule type="cellIs" dxfId="2394" priority="206" stopIfTrue="1" operator="equal">
      <formula>"INPUT STARTER IN COLUMN D"</formula>
    </cfRule>
  </conditionalFormatting>
  <conditionalFormatting sqref="P141">
    <cfRule type="cellIs" dxfId="2393" priority="205" stopIfTrue="1" operator="equal">
      <formula>"INPUT STARTER IN COLUMN D"</formula>
    </cfRule>
  </conditionalFormatting>
  <conditionalFormatting sqref="P142">
    <cfRule type="cellIs" dxfId="2392" priority="204" stopIfTrue="1" operator="equal">
      <formula>"INPUT STARTER IN COLUMN D"</formula>
    </cfRule>
  </conditionalFormatting>
  <conditionalFormatting sqref="P143">
    <cfRule type="cellIs" dxfId="2391" priority="203" stopIfTrue="1" operator="equal">
      <formula>"INPUT STARTER IN COLUMN D"</formula>
    </cfRule>
  </conditionalFormatting>
  <conditionalFormatting sqref="P144">
    <cfRule type="cellIs" dxfId="2390" priority="202" stopIfTrue="1" operator="equal">
      <formula>"INPUT STARTER IN COLUMN D"</formula>
    </cfRule>
  </conditionalFormatting>
  <conditionalFormatting sqref="P145">
    <cfRule type="cellIs" dxfId="2389" priority="201" stopIfTrue="1" operator="equal">
      <formula>"INPUT STARTER IN COLUMN D"</formula>
    </cfRule>
  </conditionalFormatting>
  <conditionalFormatting sqref="P146">
    <cfRule type="cellIs" dxfId="2388" priority="200" stopIfTrue="1" operator="equal">
      <formula>"INPUT STARTER IN COLUMN D"</formula>
    </cfRule>
  </conditionalFormatting>
  <conditionalFormatting sqref="P147">
    <cfRule type="cellIs" dxfId="2387" priority="199" stopIfTrue="1" operator="equal">
      <formula>"INPUT STARTER IN COLUMN D"</formula>
    </cfRule>
  </conditionalFormatting>
  <conditionalFormatting sqref="P148">
    <cfRule type="cellIs" dxfId="2386" priority="198" stopIfTrue="1" operator="equal">
      <formula>"INPUT STARTER IN COLUMN D"</formula>
    </cfRule>
  </conditionalFormatting>
  <conditionalFormatting sqref="P149">
    <cfRule type="cellIs" dxfId="2385" priority="197" stopIfTrue="1" operator="equal">
      <formula>"INPUT STARTER IN COLUMN D"</formula>
    </cfRule>
  </conditionalFormatting>
  <conditionalFormatting sqref="P150">
    <cfRule type="cellIs" dxfId="2384" priority="196" stopIfTrue="1" operator="equal">
      <formula>"INPUT STARTER IN COLUMN D"</formula>
    </cfRule>
  </conditionalFormatting>
  <conditionalFormatting sqref="P151">
    <cfRule type="cellIs" dxfId="2383" priority="195" stopIfTrue="1" operator="equal">
      <formula>"INPUT STARTER IN COLUMN D"</formula>
    </cfRule>
  </conditionalFormatting>
  <conditionalFormatting sqref="P152">
    <cfRule type="cellIs" dxfId="2382" priority="194" stopIfTrue="1" operator="equal">
      <formula>"INPUT STARTER IN COLUMN D"</formula>
    </cfRule>
  </conditionalFormatting>
  <conditionalFormatting sqref="P153">
    <cfRule type="cellIs" dxfId="2381" priority="193" stopIfTrue="1" operator="equal">
      <formula>"INPUT STARTER IN COLUMN D"</formula>
    </cfRule>
  </conditionalFormatting>
  <conditionalFormatting sqref="P154">
    <cfRule type="cellIs" dxfId="2380" priority="192" stopIfTrue="1" operator="equal">
      <formula>"INPUT STARTER IN COLUMN D"</formula>
    </cfRule>
  </conditionalFormatting>
  <conditionalFormatting sqref="P155">
    <cfRule type="cellIs" dxfId="2379" priority="191" stopIfTrue="1" operator="equal">
      <formula>"INPUT STARTER IN COLUMN D"</formula>
    </cfRule>
  </conditionalFormatting>
  <conditionalFormatting sqref="P157">
    <cfRule type="cellIs" dxfId="2378" priority="190" stopIfTrue="1" operator="equal">
      <formula>"INPUT STARTER IN COLUMN D"</formula>
    </cfRule>
  </conditionalFormatting>
  <conditionalFormatting sqref="P158">
    <cfRule type="cellIs" dxfId="2377" priority="189" stopIfTrue="1" operator="equal">
      <formula>"INPUT STARTER IN COLUMN D"</formula>
    </cfRule>
  </conditionalFormatting>
  <conditionalFormatting sqref="P159">
    <cfRule type="cellIs" dxfId="2376" priority="188" stopIfTrue="1" operator="equal">
      <formula>"INPUT STARTER IN COLUMN D"</formula>
    </cfRule>
  </conditionalFormatting>
  <conditionalFormatting sqref="P160">
    <cfRule type="cellIs" dxfId="2375" priority="187" stopIfTrue="1" operator="equal">
      <formula>"INPUT STARTER IN COLUMN D"</formula>
    </cfRule>
  </conditionalFormatting>
  <conditionalFormatting sqref="P161">
    <cfRule type="cellIs" dxfId="2374" priority="186" stopIfTrue="1" operator="equal">
      <formula>"INPUT STARTER IN COLUMN D"</formula>
    </cfRule>
  </conditionalFormatting>
  <conditionalFormatting sqref="P162">
    <cfRule type="cellIs" dxfId="2373" priority="185" stopIfTrue="1" operator="equal">
      <formula>"INPUT STARTER IN COLUMN D"</formula>
    </cfRule>
  </conditionalFormatting>
  <conditionalFormatting sqref="P163">
    <cfRule type="cellIs" dxfId="2372" priority="184" stopIfTrue="1" operator="equal">
      <formula>"INPUT STARTER IN COLUMN D"</formula>
    </cfRule>
  </conditionalFormatting>
  <conditionalFormatting sqref="P165">
    <cfRule type="cellIs" dxfId="2371" priority="183" stopIfTrue="1" operator="equal">
      <formula>"INPUT STARTER IN COLUMN D"</formula>
    </cfRule>
  </conditionalFormatting>
  <conditionalFormatting sqref="P166">
    <cfRule type="cellIs" dxfId="2370" priority="182" stopIfTrue="1" operator="equal">
      <formula>"INPUT STARTER IN COLUMN D"</formula>
    </cfRule>
  </conditionalFormatting>
  <conditionalFormatting sqref="P167">
    <cfRule type="cellIs" dxfId="2369" priority="181" stopIfTrue="1" operator="equal">
      <formula>"INPUT STARTER IN COLUMN D"</formula>
    </cfRule>
  </conditionalFormatting>
  <conditionalFormatting sqref="P168">
    <cfRule type="cellIs" dxfId="2368" priority="180" stopIfTrue="1" operator="equal">
      <formula>"INPUT STARTER IN COLUMN D"</formula>
    </cfRule>
  </conditionalFormatting>
  <conditionalFormatting sqref="P169">
    <cfRule type="cellIs" dxfId="2367" priority="179" stopIfTrue="1" operator="equal">
      <formula>"INPUT STARTER IN COLUMN D"</formula>
    </cfRule>
  </conditionalFormatting>
  <conditionalFormatting sqref="P170">
    <cfRule type="cellIs" dxfId="2366" priority="178" stopIfTrue="1" operator="equal">
      <formula>"INPUT STARTER IN COLUMN D"</formula>
    </cfRule>
  </conditionalFormatting>
  <conditionalFormatting sqref="P171">
    <cfRule type="cellIs" dxfId="2365" priority="177" stopIfTrue="1" operator="equal">
      <formula>"INPUT STARTER IN COLUMN D"</formula>
    </cfRule>
  </conditionalFormatting>
  <conditionalFormatting sqref="P172">
    <cfRule type="cellIs" dxfId="2364" priority="176" stopIfTrue="1" operator="equal">
      <formula>"INPUT STARTER IN COLUMN D"</formula>
    </cfRule>
  </conditionalFormatting>
  <conditionalFormatting sqref="P173">
    <cfRule type="cellIs" dxfId="2363" priority="175" stopIfTrue="1" operator="equal">
      <formula>"INPUT STARTER IN COLUMN D"</formula>
    </cfRule>
  </conditionalFormatting>
  <conditionalFormatting sqref="P174">
    <cfRule type="cellIs" dxfId="2362" priority="174" stopIfTrue="1" operator="equal">
      <formula>"INPUT STARTER IN COLUMN D"</formula>
    </cfRule>
  </conditionalFormatting>
  <conditionalFormatting sqref="P176">
    <cfRule type="cellIs" dxfId="2361" priority="173" stopIfTrue="1" operator="equal">
      <formula>"INPUT STARTER IN COLUMN D"</formula>
    </cfRule>
  </conditionalFormatting>
  <conditionalFormatting sqref="P177">
    <cfRule type="cellIs" dxfId="2360" priority="172" stopIfTrue="1" operator="equal">
      <formula>"INPUT STARTER IN COLUMN D"</formula>
    </cfRule>
  </conditionalFormatting>
  <conditionalFormatting sqref="P178">
    <cfRule type="cellIs" dxfId="2359" priority="171" stopIfTrue="1" operator="equal">
      <formula>"INPUT STARTER IN COLUMN D"</formula>
    </cfRule>
  </conditionalFormatting>
  <conditionalFormatting sqref="P179">
    <cfRule type="cellIs" dxfId="2358" priority="170" stopIfTrue="1" operator="equal">
      <formula>"INPUT STARTER IN COLUMN D"</formula>
    </cfRule>
  </conditionalFormatting>
  <conditionalFormatting sqref="P180">
    <cfRule type="cellIs" dxfId="2357" priority="169" stopIfTrue="1" operator="equal">
      <formula>"INPUT STARTER IN COLUMN D"</formula>
    </cfRule>
  </conditionalFormatting>
  <conditionalFormatting sqref="P181">
    <cfRule type="cellIs" dxfId="2356" priority="168" stopIfTrue="1" operator="equal">
      <formula>"INPUT STARTER IN COLUMN D"</formula>
    </cfRule>
  </conditionalFormatting>
  <conditionalFormatting sqref="P182">
    <cfRule type="cellIs" dxfId="2355" priority="167" stopIfTrue="1" operator="equal">
      <formula>"INPUT STARTER IN COLUMN D"</formula>
    </cfRule>
  </conditionalFormatting>
  <conditionalFormatting sqref="P183">
    <cfRule type="cellIs" dxfId="2354" priority="166" stopIfTrue="1" operator="equal">
      <formula>"INPUT STARTER IN COLUMN D"</formula>
    </cfRule>
  </conditionalFormatting>
  <conditionalFormatting sqref="P184">
    <cfRule type="cellIs" dxfId="2353" priority="165" stopIfTrue="1" operator="equal">
      <formula>"INPUT STARTER IN COLUMN D"</formula>
    </cfRule>
  </conditionalFormatting>
  <conditionalFormatting sqref="P185">
    <cfRule type="cellIs" dxfId="2352" priority="164" stopIfTrue="1" operator="equal">
      <formula>"INPUT STARTER IN COLUMN D"</formula>
    </cfRule>
  </conditionalFormatting>
  <conditionalFormatting sqref="AK3:AK22">
    <cfRule type="cellIs" dxfId="2351" priority="163" stopIfTrue="1" operator="equal">
      <formula>"must average at least 5 innings per start"</formula>
    </cfRule>
  </conditionalFormatting>
  <conditionalFormatting sqref="AK23">
    <cfRule type="cellIs" dxfId="2350" priority="162" stopIfTrue="1" operator="equal">
      <formula>"must have 162 starts"</formula>
    </cfRule>
  </conditionalFormatting>
  <conditionalFormatting sqref="AH3:AH22">
    <cfRule type="cellIs" dxfId="2349" priority="161" stopIfTrue="1" operator="equal">
      <formula>"must average at least 5 innings per start"</formula>
    </cfRule>
  </conditionalFormatting>
  <conditionalFormatting sqref="AH23">
    <cfRule type="cellIs" dxfId="2348" priority="160" stopIfTrue="1" operator="equal">
      <formula>"must have 162 starts"</formula>
    </cfRule>
  </conditionalFormatting>
  <conditionalFormatting sqref="AG3:AG22">
    <cfRule type="cellIs" dxfId="2347" priority="159" stopIfTrue="1" operator="equal">
      <formula>"must average at least 5 innings per start"</formula>
    </cfRule>
  </conditionalFormatting>
  <conditionalFormatting sqref="AG23">
    <cfRule type="cellIs" dxfId="2346" priority="158" stopIfTrue="1" operator="equal">
      <formula>"must have 162 starts"</formula>
    </cfRule>
  </conditionalFormatting>
  <conditionalFormatting sqref="AK3:AK22">
    <cfRule type="cellIs" dxfId="2345" priority="157" stopIfTrue="1" operator="equal">
      <formula>"must average at least 5 innings per start"</formula>
    </cfRule>
  </conditionalFormatting>
  <conditionalFormatting sqref="AK23">
    <cfRule type="cellIs" dxfId="2344" priority="156" stopIfTrue="1" operator="equal">
      <formula>"must have 162 starts"</formula>
    </cfRule>
  </conditionalFormatting>
  <conditionalFormatting sqref="AH3:AH22">
    <cfRule type="cellIs" dxfId="2343" priority="155" stopIfTrue="1" operator="equal">
      <formula>"must average at least 5 innings per start"</formula>
    </cfRule>
  </conditionalFormatting>
  <conditionalFormatting sqref="AH23">
    <cfRule type="cellIs" dxfId="2342" priority="154" stopIfTrue="1" operator="equal">
      <formula>"must have 162 starts"</formula>
    </cfRule>
  </conditionalFormatting>
  <conditionalFormatting sqref="AG3:AG22">
    <cfRule type="cellIs" dxfId="2341" priority="153" stopIfTrue="1" operator="equal">
      <formula>"must average at least 5 innings per start"</formula>
    </cfRule>
  </conditionalFormatting>
  <conditionalFormatting sqref="AG23">
    <cfRule type="cellIs" dxfId="2340" priority="152" stopIfTrue="1" operator="equal">
      <formula>"must have 162 starts"</formula>
    </cfRule>
  </conditionalFormatting>
  <conditionalFormatting sqref="AK3:AK22">
    <cfRule type="cellIs" dxfId="2339" priority="151" stopIfTrue="1" operator="equal">
      <formula>"must average at least 5 innings per start"</formula>
    </cfRule>
  </conditionalFormatting>
  <conditionalFormatting sqref="AK23">
    <cfRule type="cellIs" dxfId="2338" priority="150" stopIfTrue="1" operator="equal">
      <formula>"must have 162 starts"</formula>
    </cfRule>
  </conditionalFormatting>
  <conditionalFormatting sqref="AH3:AH22">
    <cfRule type="cellIs" dxfId="2337" priority="149" stopIfTrue="1" operator="equal">
      <formula>"must average at least 5 innings per start"</formula>
    </cfRule>
  </conditionalFormatting>
  <conditionalFormatting sqref="AH23">
    <cfRule type="cellIs" dxfId="2336" priority="148" stopIfTrue="1" operator="equal">
      <formula>"must have 162 starts"</formula>
    </cfRule>
  </conditionalFormatting>
  <conditionalFormatting sqref="AG3:AG22">
    <cfRule type="cellIs" dxfId="2335" priority="147" stopIfTrue="1" operator="equal">
      <formula>"must average at least 5 innings per start"</formula>
    </cfRule>
  </conditionalFormatting>
  <conditionalFormatting sqref="AG23">
    <cfRule type="cellIs" dxfId="2334" priority="146" stopIfTrue="1" operator="equal">
      <formula>"must have 162 starts"</formula>
    </cfRule>
  </conditionalFormatting>
  <conditionalFormatting sqref="AK3:AK22">
    <cfRule type="cellIs" dxfId="2333" priority="145" stopIfTrue="1" operator="equal">
      <formula>"must average at least 5 innings per start"</formula>
    </cfRule>
  </conditionalFormatting>
  <conditionalFormatting sqref="AK23">
    <cfRule type="cellIs" dxfId="2332" priority="144" stopIfTrue="1" operator="equal">
      <formula>"must have 162 starts"</formula>
    </cfRule>
  </conditionalFormatting>
  <conditionalFormatting sqref="AH3:AH22">
    <cfRule type="cellIs" dxfId="2331" priority="143" stopIfTrue="1" operator="equal">
      <formula>"must average at least 5 innings per start"</formula>
    </cfRule>
  </conditionalFormatting>
  <conditionalFormatting sqref="AH23">
    <cfRule type="cellIs" dxfId="2330" priority="142" stopIfTrue="1" operator="equal">
      <formula>"must have 162 starts"</formula>
    </cfRule>
  </conditionalFormatting>
  <conditionalFormatting sqref="AG3:AG22">
    <cfRule type="cellIs" dxfId="2329" priority="141" stopIfTrue="1" operator="equal">
      <formula>"must average at least 5 innings per start"</formula>
    </cfRule>
  </conditionalFormatting>
  <conditionalFormatting sqref="AG23">
    <cfRule type="cellIs" dxfId="2328" priority="140" stopIfTrue="1" operator="equal">
      <formula>"must have 162 starts"</formula>
    </cfRule>
  </conditionalFormatting>
  <conditionalFormatting sqref="AK3:AK22">
    <cfRule type="cellIs" dxfId="2327" priority="139" stopIfTrue="1" operator="equal">
      <formula>"must average at least 5 innings per start"</formula>
    </cfRule>
  </conditionalFormatting>
  <conditionalFormatting sqref="AK23">
    <cfRule type="cellIs" dxfId="2326" priority="138" stopIfTrue="1" operator="equal">
      <formula>"must have 162 starts"</formula>
    </cfRule>
  </conditionalFormatting>
  <conditionalFormatting sqref="AH3:AH22">
    <cfRule type="cellIs" dxfId="2325" priority="137" stopIfTrue="1" operator="equal">
      <formula>"must average at least 5 innings per start"</formula>
    </cfRule>
  </conditionalFormatting>
  <conditionalFormatting sqref="AH23">
    <cfRule type="cellIs" dxfId="2324" priority="136" stopIfTrue="1" operator="equal">
      <formula>"must have 162 starts"</formula>
    </cfRule>
  </conditionalFormatting>
  <conditionalFormatting sqref="AG3:AG22">
    <cfRule type="cellIs" dxfId="2323" priority="135" stopIfTrue="1" operator="equal">
      <formula>"must average at least 5 innings per start"</formula>
    </cfRule>
  </conditionalFormatting>
  <conditionalFormatting sqref="AG23">
    <cfRule type="cellIs" dxfId="2322" priority="134" stopIfTrue="1" operator="equal">
      <formula>"must have 162 starts"</formula>
    </cfRule>
  </conditionalFormatting>
  <conditionalFormatting sqref="AK3:AK22">
    <cfRule type="cellIs" dxfId="2321" priority="133" stopIfTrue="1" operator="equal">
      <formula>"must average at least 5 innings per start"</formula>
    </cfRule>
  </conditionalFormatting>
  <conditionalFormatting sqref="AK23">
    <cfRule type="cellIs" dxfId="2320" priority="132" stopIfTrue="1" operator="equal">
      <formula>"must have 162 starts"</formula>
    </cfRule>
  </conditionalFormatting>
  <conditionalFormatting sqref="AH3:AH22">
    <cfRule type="cellIs" dxfId="2319" priority="131" stopIfTrue="1" operator="equal">
      <formula>"must average at least 5 innings per start"</formula>
    </cfRule>
  </conditionalFormatting>
  <conditionalFormatting sqref="AH23">
    <cfRule type="cellIs" dxfId="2318" priority="130" stopIfTrue="1" operator="equal">
      <formula>"must have 162 starts"</formula>
    </cfRule>
  </conditionalFormatting>
  <conditionalFormatting sqref="AG3:AG22">
    <cfRule type="cellIs" dxfId="2317" priority="129" stopIfTrue="1" operator="equal">
      <formula>"must average at least 5 innings per start"</formula>
    </cfRule>
  </conditionalFormatting>
  <conditionalFormatting sqref="AG23">
    <cfRule type="cellIs" dxfId="2316" priority="128" stopIfTrue="1" operator="equal">
      <formula>"must have 162 starts"</formula>
    </cfRule>
  </conditionalFormatting>
  <conditionalFormatting sqref="AK3:AK22">
    <cfRule type="cellIs" dxfId="2315" priority="127" stopIfTrue="1" operator="equal">
      <formula>"must average at least 5 innings per start"</formula>
    </cfRule>
  </conditionalFormatting>
  <conditionalFormatting sqref="AK23">
    <cfRule type="cellIs" dxfId="2314" priority="126" stopIfTrue="1" operator="equal">
      <formula>"must have 162 starts"</formula>
    </cfRule>
  </conditionalFormatting>
  <conditionalFormatting sqref="AH3:AH22">
    <cfRule type="cellIs" dxfId="2313" priority="125" stopIfTrue="1" operator="equal">
      <formula>"must average at least 5 innings per start"</formula>
    </cfRule>
  </conditionalFormatting>
  <conditionalFormatting sqref="AH23">
    <cfRule type="cellIs" dxfId="2312" priority="124" stopIfTrue="1" operator="equal">
      <formula>"must have 162 starts"</formula>
    </cfRule>
  </conditionalFormatting>
  <conditionalFormatting sqref="AG3:AG22">
    <cfRule type="cellIs" dxfId="2311" priority="123" stopIfTrue="1" operator="equal">
      <formula>"must average at least 5 innings per start"</formula>
    </cfRule>
  </conditionalFormatting>
  <conditionalFormatting sqref="AG23">
    <cfRule type="cellIs" dxfId="2310" priority="122" stopIfTrue="1" operator="equal">
      <formula>"must have 162 starts"</formula>
    </cfRule>
  </conditionalFormatting>
  <conditionalFormatting sqref="AK3:AK22">
    <cfRule type="cellIs" dxfId="2309" priority="121" stopIfTrue="1" operator="equal">
      <formula>"must average at least 5 innings per start"</formula>
    </cfRule>
  </conditionalFormatting>
  <conditionalFormatting sqref="AK23">
    <cfRule type="cellIs" dxfId="2308" priority="120" stopIfTrue="1" operator="equal">
      <formula>"must have 162 starts"</formula>
    </cfRule>
  </conditionalFormatting>
  <conditionalFormatting sqref="AH3:AH22">
    <cfRule type="cellIs" dxfId="2307" priority="119" stopIfTrue="1" operator="equal">
      <formula>"must average at least 5 innings per start"</formula>
    </cfRule>
  </conditionalFormatting>
  <conditionalFormatting sqref="AH23">
    <cfRule type="cellIs" dxfId="2306" priority="118" stopIfTrue="1" operator="equal">
      <formula>"must have 162 starts"</formula>
    </cfRule>
  </conditionalFormatting>
  <conditionalFormatting sqref="AG3:AG22">
    <cfRule type="cellIs" dxfId="2305" priority="117" stopIfTrue="1" operator="equal">
      <formula>"must average at least 5 innings per start"</formula>
    </cfRule>
  </conditionalFormatting>
  <conditionalFormatting sqref="AG23">
    <cfRule type="cellIs" dxfId="2304" priority="116" stopIfTrue="1" operator="equal">
      <formula>"must have 162 starts"</formula>
    </cfRule>
  </conditionalFormatting>
  <conditionalFormatting sqref="AK3:AK22">
    <cfRule type="cellIs" dxfId="2303" priority="115" stopIfTrue="1" operator="equal">
      <formula>"must average at least 5 innings per start"</formula>
    </cfRule>
  </conditionalFormatting>
  <conditionalFormatting sqref="AK23">
    <cfRule type="cellIs" dxfId="2302" priority="114" stopIfTrue="1" operator="equal">
      <formula>"must have 162 starts"</formula>
    </cfRule>
  </conditionalFormatting>
  <conditionalFormatting sqref="AH3:AH22">
    <cfRule type="cellIs" dxfId="2301" priority="113" stopIfTrue="1" operator="equal">
      <formula>"must average at least 5 innings per start"</formula>
    </cfRule>
  </conditionalFormatting>
  <conditionalFormatting sqref="AH23">
    <cfRule type="cellIs" dxfId="2300" priority="112" stopIfTrue="1" operator="equal">
      <formula>"must have 162 starts"</formula>
    </cfRule>
  </conditionalFormatting>
  <conditionalFormatting sqref="AG3:AG22">
    <cfRule type="cellIs" dxfId="2299" priority="111" stopIfTrue="1" operator="equal">
      <formula>"must average at least 5 innings per start"</formula>
    </cfRule>
  </conditionalFormatting>
  <conditionalFormatting sqref="AG23">
    <cfRule type="cellIs" dxfId="2298" priority="110" stopIfTrue="1" operator="equal">
      <formula>"must have 162 starts"</formula>
    </cfRule>
  </conditionalFormatting>
  <conditionalFormatting sqref="AK3:AK22">
    <cfRule type="cellIs" dxfId="2297" priority="109" stopIfTrue="1" operator="equal">
      <formula>"must average at least 5 innings per start"</formula>
    </cfRule>
  </conditionalFormatting>
  <conditionalFormatting sqref="AK23">
    <cfRule type="cellIs" dxfId="2296" priority="108" stopIfTrue="1" operator="equal">
      <formula>"must have 162 starts"</formula>
    </cfRule>
  </conditionalFormatting>
  <conditionalFormatting sqref="AH3:AH22">
    <cfRule type="cellIs" dxfId="2295" priority="107" stopIfTrue="1" operator="equal">
      <formula>"must average at least 5 innings per start"</formula>
    </cfRule>
  </conditionalFormatting>
  <conditionalFormatting sqref="AH23">
    <cfRule type="cellIs" dxfId="2294" priority="106" stopIfTrue="1" operator="equal">
      <formula>"must have 162 starts"</formula>
    </cfRule>
  </conditionalFormatting>
  <conditionalFormatting sqref="AG3:AG22">
    <cfRule type="cellIs" dxfId="2293" priority="105" stopIfTrue="1" operator="equal">
      <formula>"must average at least 5 innings per start"</formula>
    </cfRule>
  </conditionalFormatting>
  <conditionalFormatting sqref="AG23">
    <cfRule type="cellIs" dxfId="2292" priority="104" stopIfTrue="1" operator="equal">
      <formula>"must have 162 starts"</formula>
    </cfRule>
  </conditionalFormatting>
  <conditionalFormatting sqref="AG3:AG22">
    <cfRule type="cellIs" dxfId="2291" priority="103" stopIfTrue="1" operator="equal">
      <formula>"must average at least 5 innings per start"</formula>
    </cfRule>
  </conditionalFormatting>
  <conditionalFormatting sqref="AG23">
    <cfRule type="cellIs" dxfId="2290" priority="102" stopIfTrue="1" operator="equal">
      <formula>"must have 162 starts"</formula>
    </cfRule>
  </conditionalFormatting>
  <conditionalFormatting sqref="AK3:AK22">
    <cfRule type="cellIs" dxfId="2289" priority="101" stopIfTrue="1" operator="equal">
      <formula>"must average at least 5 innings per start"</formula>
    </cfRule>
  </conditionalFormatting>
  <conditionalFormatting sqref="AK23">
    <cfRule type="cellIs" dxfId="2288" priority="100" stopIfTrue="1" operator="equal">
      <formula>"must have 162 starts"</formula>
    </cfRule>
  </conditionalFormatting>
  <conditionalFormatting sqref="AK3:AK22">
    <cfRule type="cellIs" dxfId="2287" priority="99" stopIfTrue="1" operator="equal">
      <formula>"must average at least 5 innings per start"</formula>
    </cfRule>
  </conditionalFormatting>
  <conditionalFormatting sqref="AK23">
    <cfRule type="cellIs" dxfId="2286" priority="98" stopIfTrue="1" operator="equal">
      <formula>"must have 162 starts"</formula>
    </cfRule>
  </conditionalFormatting>
  <conditionalFormatting sqref="AK3:AK22">
    <cfRule type="cellIs" dxfId="2285" priority="97" stopIfTrue="1" operator="equal">
      <formula>"must average at least 5 innings per start"</formula>
    </cfRule>
  </conditionalFormatting>
  <conditionalFormatting sqref="AK23">
    <cfRule type="cellIs" dxfId="2284" priority="96" stopIfTrue="1" operator="equal">
      <formula>"must have 162 starts"</formula>
    </cfRule>
  </conditionalFormatting>
  <conditionalFormatting sqref="AK3:AK22">
    <cfRule type="cellIs" dxfId="2283" priority="95" stopIfTrue="1" operator="equal">
      <formula>"must average at least 5 innings per start"</formula>
    </cfRule>
  </conditionalFormatting>
  <conditionalFormatting sqref="AK23">
    <cfRule type="cellIs" dxfId="2282" priority="94" stopIfTrue="1" operator="equal">
      <formula>"must have 162 starts"</formula>
    </cfRule>
  </conditionalFormatting>
  <conditionalFormatting sqref="AK3:AK22">
    <cfRule type="cellIs" dxfId="2281" priority="93" stopIfTrue="1" operator="equal">
      <formula>"must average at least 5 innings per start"</formula>
    </cfRule>
  </conditionalFormatting>
  <conditionalFormatting sqref="AK23">
    <cfRule type="cellIs" dxfId="2280" priority="92" stopIfTrue="1" operator="equal">
      <formula>"must have 162 starts"</formula>
    </cfRule>
  </conditionalFormatting>
  <conditionalFormatting sqref="AK3:AK22">
    <cfRule type="cellIs" dxfId="2279" priority="91" stopIfTrue="1" operator="equal">
      <formula>"must average at least 5 innings per start"</formula>
    </cfRule>
  </conditionalFormatting>
  <conditionalFormatting sqref="AK23">
    <cfRule type="cellIs" dxfId="2278" priority="90" stopIfTrue="1" operator="equal">
      <formula>"must have 162 starts"</formula>
    </cfRule>
  </conditionalFormatting>
  <conditionalFormatting sqref="AK3:AK22">
    <cfRule type="cellIs" dxfId="2277" priority="89" stopIfTrue="1" operator="equal">
      <formula>"must average at least 5 innings per start"</formula>
    </cfRule>
  </conditionalFormatting>
  <conditionalFormatting sqref="AK23">
    <cfRule type="cellIs" dxfId="2276" priority="88" stopIfTrue="1" operator="equal">
      <formula>"must have 162 starts"</formula>
    </cfRule>
  </conditionalFormatting>
  <conditionalFormatting sqref="AH3:AH22">
    <cfRule type="cellIs" dxfId="2275" priority="87" stopIfTrue="1" operator="equal">
      <formula>"must average at least 5 innings per start"</formula>
    </cfRule>
  </conditionalFormatting>
  <conditionalFormatting sqref="AH23">
    <cfRule type="cellIs" dxfId="2274" priority="86" stopIfTrue="1" operator="equal">
      <formula>"must have 162 starts"</formula>
    </cfRule>
  </conditionalFormatting>
  <conditionalFormatting sqref="AG3:AG22">
    <cfRule type="cellIs" dxfId="2273" priority="85" stopIfTrue="1" operator="equal">
      <formula>"must average at least 5 innings per start"</formula>
    </cfRule>
  </conditionalFormatting>
  <conditionalFormatting sqref="AG23">
    <cfRule type="cellIs" dxfId="2272" priority="84" stopIfTrue="1" operator="equal">
      <formula>"must have 162 starts"</formula>
    </cfRule>
  </conditionalFormatting>
  <conditionalFormatting sqref="AK3:AK22">
    <cfRule type="cellIs" dxfId="2271" priority="83" stopIfTrue="1" operator="equal">
      <formula>"must average at least 5 innings per start"</formula>
    </cfRule>
  </conditionalFormatting>
  <conditionalFormatting sqref="AK23">
    <cfRule type="cellIs" dxfId="2270" priority="82" stopIfTrue="1" operator="equal">
      <formula>"must have 162 starts"</formula>
    </cfRule>
  </conditionalFormatting>
  <conditionalFormatting sqref="AK3:AK22">
    <cfRule type="cellIs" dxfId="2269" priority="81" stopIfTrue="1" operator="equal">
      <formula>"must average at least 5 innings per start"</formula>
    </cfRule>
  </conditionalFormatting>
  <conditionalFormatting sqref="AK23">
    <cfRule type="cellIs" dxfId="2268" priority="80" stopIfTrue="1" operator="equal">
      <formula>"must have 162 starts"</formula>
    </cfRule>
  </conditionalFormatting>
  <conditionalFormatting sqref="AK3:AK22">
    <cfRule type="cellIs" dxfId="2267" priority="79" stopIfTrue="1" operator="equal">
      <formula>"must average at least 5 innings per start"</formula>
    </cfRule>
  </conditionalFormatting>
  <conditionalFormatting sqref="AK23">
    <cfRule type="cellIs" dxfId="2266" priority="78" stopIfTrue="1" operator="equal">
      <formula>"must have 162 starts"</formula>
    </cfRule>
  </conditionalFormatting>
  <conditionalFormatting sqref="AK3:AK22">
    <cfRule type="cellIs" dxfId="2265" priority="77" stopIfTrue="1" operator="equal">
      <formula>"must average at least 5 innings per start"</formula>
    </cfRule>
  </conditionalFormatting>
  <conditionalFormatting sqref="AK23">
    <cfRule type="cellIs" dxfId="2264" priority="76" stopIfTrue="1" operator="equal">
      <formula>"must have 162 starts"</formula>
    </cfRule>
  </conditionalFormatting>
  <conditionalFormatting sqref="AK3:AK22">
    <cfRule type="cellIs" dxfId="2263" priority="75" stopIfTrue="1" operator="equal">
      <formula>"must average at least 5 innings per start"</formula>
    </cfRule>
  </conditionalFormatting>
  <conditionalFormatting sqref="AK23">
    <cfRule type="cellIs" dxfId="2262" priority="74" stopIfTrue="1" operator="equal">
      <formula>"must have 162 starts"</formula>
    </cfRule>
  </conditionalFormatting>
  <conditionalFormatting sqref="AK3:AK22">
    <cfRule type="cellIs" dxfId="2261" priority="73" stopIfTrue="1" operator="equal">
      <formula>"must average at least 5 innings per start"</formula>
    </cfRule>
  </conditionalFormatting>
  <conditionalFormatting sqref="AK23">
    <cfRule type="cellIs" dxfId="2260" priority="72" stopIfTrue="1" operator="equal">
      <formula>"must have 162 starts"</formula>
    </cfRule>
  </conditionalFormatting>
  <conditionalFormatting sqref="AK3:AK22">
    <cfRule type="cellIs" dxfId="2259" priority="71" stopIfTrue="1" operator="equal">
      <formula>"must average at least 5 innings per start"</formula>
    </cfRule>
  </conditionalFormatting>
  <conditionalFormatting sqref="AK23">
    <cfRule type="cellIs" dxfId="2258" priority="70" stopIfTrue="1" operator="equal">
      <formula>"must have 162 starts"</formula>
    </cfRule>
  </conditionalFormatting>
  <conditionalFormatting sqref="AK3:AK22">
    <cfRule type="cellIs" dxfId="2257" priority="69" stopIfTrue="1" operator="equal">
      <formula>"must average at least 5 innings per start"</formula>
    </cfRule>
  </conditionalFormatting>
  <conditionalFormatting sqref="AK23">
    <cfRule type="cellIs" dxfId="2256" priority="68" stopIfTrue="1" operator="equal">
      <formula>"must have 162 starts"</formula>
    </cfRule>
  </conditionalFormatting>
  <conditionalFormatting sqref="AG3:AG22">
    <cfRule type="cellIs" dxfId="2255" priority="67" stopIfTrue="1" operator="equal">
      <formula>"must average at least 5 innings per start"</formula>
    </cfRule>
  </conditionalFormatting>
  <conditionalFormatting sqref="AG23">
    <cfRule type="cellIs" dxfId="2254" priority="66" stopIfTrue="1" operator="equal">
      <formula>"must have 162 starts"</formula>
    </cfRule>
  </conditionalFormatting>
  <conditionalFormatting sqref="AK3:AK22">
    <cfRule type="cellIs" dxfId="2253" priority="65" stopIfTrue="1" operator="equal">
      <formula>"must average at least 5 innings per start"</formula>
    </cfRule>
  </conditionalFormatting>
  <conditionalFormatting sqref="AK23">
    <cfRule type="cellIs" dxfId="2252" priority="64" stopIfTrue="1" operator="equal">
      <formula>"must have 162 starts"</formula>
    </cfRule>
  </conditionalFormatting>
  <conditionalFormatting sqref="AK3:AK22">
    <cfRule type="cellIs" dxfId="2251" priority="63" stopIfTrue="1" operator="equal">
      <formula>"must average at least 5 innings per start"</formula>
    </cfRule>
  </conditionalFormatting>
  <conditionalFormatting sqref="AK23">
    <cfRule type="cellIs" dxfId="2250" priority="62" stopIfTrue="1" operator="equal">
      <formula>"must have 162 starts"</formula>
    </cfRule>
  </conditionalFormatting>
  <conditionalFormatting sqref="AK3:AK22">
    <cfRule type="cellIs" dxfId="2249" priority="61" stopIfTrue="1" operator="equal">
      <formula>"must average at least 5 innings per start"</formula>
    </cfRule>
  </conditionalFormatting>
  <conditionalFormatting sqref="AK23">
    <cfRule type="cellIs" dxfId="2248" priority="60" stopIfTrue="1" operator="equal">
      <formula>"must have 162 starts"</formula>
    </cfRule>
  </conditionalFormatting>
  <conditionalFormatting sqref="AK3:AK22">
    <cfRule type="cellIs" dxfId="2247" priority="59" stopIfTrue="1" operator="equal">
      <formula>"must average at least 5 innings per start"</formula>
    </cfRule>
  </conditionalFormatting>
  <conditionalFormatting sqref="AK23">
    <cfRule type="cellIs" dxfId="2246" priority="58" stopIfTrue="1" operator="equal">
      <formula>"must have 162 starts"</formula>
    </cfRule>
  </conditionalFormatting>
  <conditionalFormatting sqref="AK3:AK22">
    <cfRule type="cellIs" dxfId="2245" priority="57" stopIfTrue="1" operator="equal">
      <formula>"must average at least 5 innings per start"</formula>
    </cfRule>
  </conditionalFormatting>
  <conditionalFormatting sqref="AK23">
    <cfRule type="cellIs" dxfId="2244" priority="56" stopIfTrue="1" operator="equal">
      <formula>"must have 162 starts"</formula>
    </cfRule>
  </conditionalFormatting>
  <conditionalFormatting sqref="AK3:AK22">
    <cfRule type="cellIs" dxfId="2243" priority="55" stopIfTrue="1" operator="equal">
      <formula>"must average at least 5 innings per start"</formula>
    </cfRule>
  </conditionalFormatting>
  <conditionalFormatting sqref="AK23">
    <cfRule type="cellIs" dxfId="2242" priority="54" stopIfTrue="1" operator="equal">
      <formula>"must have 162 starts"</formula>
    </cfRule>
  </conditionalFormatting>
  <conditionalFormatting sqref="AK3:AK22">
    <cfRule type="cellIs" dxfId="2241" priority="53" stopIfTrue="1" operator="equal">
      <formula>"must average at least 5 innings per start"</formula>
    </cfRule>
  </conditionalFormatting>
  <conditionalFormatting sqref="AK23">
    <cfRule type="cellIs" dxfId="2240" priority="52" stopIfTrue="1" operator="equal">
      <formula>"must have 162 starts"</formula>
    </cfRule>
  </conditionalFormatting>
  <conditionalFormatting sqref="AG3:AG22">
    <cfRule type="cellIs" dxfId="2239" priority="51" stopIfTrue="1" operator="equal">
      <formula>"must average at least 5 innings per start"</formula>
    </cfRule>
  </conditionalFormatting>
  <conditionalFormatting sqref="AG23">
    <cfRule type="cellIs" dxfId="2238" priority="50" stopIfTrue="1" operator="equal">
      <formula>"must have 162 starts"</formula>
    </cfRule>
  </conditionalFormatting>
  <conditionalFormatting sqref="AK3:AK22">
    <cfRule type="cellIs" dxfId="2237" priority="49" stopIfTrue="1" operator="equal">
      <formula>"must average at least 5 innings per start"</formula>
    </cfRule>
  </conditionalFormatting>
  <conditionalFormatting sqref="AK23">
    <cfRule type="cellIs" dxfId="2236" priority="48" stopIfTrue="1" operator="equal">
      <formula>"must have 162 starts"</formula>
    </cfRule>
  </conditionalFormatting>
  <conditionalFormatting sqref="AK3:AK22">
    <cfRule type="cellIs" dxfId="2235" priority="47" stopIfTrue="1" operator="equal">
      <formula>"must average at least 5 innings per start"</formula>
    </cfRule>
  </conditionalFormatting>
  <conditionalFormatting sqref="AK23">
    <cfRule type="cellIs" dxfId="2234" priority="46" stopIfTrue="1" operator="equal">
      <formula>"must have 162 starts"</formula>
    </cfRule>
  </conditionalFormatting>
  <conditionalFormatting sqref="AK3:AK22">
    <cfRule type="cellIs" dxfId="2233" priority="45" stopIfTrue="1" operator="equal">
      <formula>"must average at least 5 innings per start"</formula>
    </cfRule>
  </conditionalFormatting>
  <conditionalFormatting sqref="AK23">
    <cfRule type="cellIs" dxfId="2232" priority="44" stopIfTrue="1" operator="equal">
      <formula>"must have 162 starts"</formula>
    </cfRule>
  </conditionalFormatting>
  <conditionalFormatting sqref="AK3:AK22">
    <cfRule type="cellIs" dxfId="2231" priority="43" stopIfTrue="1" operator="equal">
      <formula>"must average at least 5 innings per start"</formula>
    </cfRule>
  </conditionalFormatting>
  <conditionalFormatting sqref="AK23">
    <cfRule type="cellIs" dxfId="2230" priority="42" stopIfTrue="1" operator="equal">
      <formula>"must have 162 starts"</formula>
    </cfRule>
  </conditionalFormatting>
  <conditionalFormatting sqref="AK3:AK22">
    <cfRule type="cellIs" dxfId="2229" priority="41" stopIfTrue="1" operator="equal">
      <formula>"must average at least 5 innings per start"</formula>
    </cfRule>
  </conditionalFormatting>
  <conditionalFormatting sqref="AK23">
    <cfRule type="cellIs" dxfId="2228" priority="40" stopIfTrue="1" operator="equal">
      <formula>"must have 162 starts"</formula>
    </cfRule>
  </conditionalFormatting>
  <conditionalFormatting sqref="AK3:AK22">
    <cfRule type="cellIs" dxfId="2227" priority="39" stopIfTrue="1" operator="equal">
      <formula>"must average at least 5 innings per start"</formula>
    </cfRule>
  </conditionalFormatting>
  <conditionalFormatting sqref="AK23">
    <cfRule type="cellIs" dxfId="2226" priority="38" stopIfTrue="1" operator="equal">
      <formula>"must have 162 starts"</formula>
    </cfRule>
  </conditionalFormatting>
  <conditionalFormatting sqref="AG3:AG22">
    <cfRule type="cellIs" dxfId="2225" priority="37" stopIfTrue="1" operator="equal">
      <formula>"must average at least 5 innings per start"</formula>
    </cfRule>
  </conditionalFormatting>
  <conditionalFormatting sqref="AG23">
    <cfRule type="cellIs" dxfId="2224" priority="36" stopIfTrue="1" operator="equal">
      <formula>"must have 162 starts"</formula>
    </cfRule>
  </conditionalFormatting>
  <conditionalFormatting sqref="AK3:AK22">
    <cfRule type="cellIs" dxfId="2223" priority="35" stopIfTrue="1" operator="equal">
      <formula>"must average at least 5 innings per start"</formula>
    </cfRule>
  </conditionalFormatting>
  <conditionalFormatting sqref="AK23">
    <cfRule type="cellIs" dxfId="2222" priority="34" stopIfTrue="1" operator="equal">
      <formula>"must have 162 starts"</formula>
    </cfRule>
  </conditionalFormatting>
  <conditionalFormatting sqref="AK3:AK22">
    <cfRule type="cellIs" dxfId="2221" priority="33" stopIfTrue="1" operator="equal">
      <formula>"must average at least 5 innings per start"</formula>
    </cfRule>
  </conditionalFormatting>
  <conditionalFormatting sqref="AK23">
    <cfRule type="cellIs" dxfId="2220" priority="32" stopIfTrue="1" operator="equal">
      <formula>"must have 162 starts"</formula>
    </cfRule>
  </conditionalFormatting>
  <conditionalFormatting sqref="AK3:AK22">
    <cfRule type="cellIs" dxfId="2219" priority="31" stopIfTrue="1" operator="equal">
      <formula>"must average at least 5 innings per start"</formula>
    </cfRule>
  </conditionalFormatting>
  <conditionalFormatting sqref="AK23">
    <cfRule type="cellIs" dxfId="2218" priority="30" stopIfTrue="1" operator="equal">
      <formula>"must have 162 starts"</formula>
    </cfRule>
  </conditionalFormatting>
  <conditionalFormatting sqref="AK3:AK22">
    <cfRule type="cellIs" dxfId="2217" priority="29" stopIfTrue="1" operator="equal">
      <formula>"must average at least 5 innings per start"</formula>
    </cfRule>
  </conditionalFormatting>
  <conditionalFormatting sqref="AK23">
    <cfRule type="cellIs" dxfId="2216" priority="28" stopIfTrue="1" operator="equal">
      <formula>"must have 162 starts"</formula>
    </cfRule>
  </conditionalFormatting>
  <conditionalFormatting sqref="AK3:AK22">
    <cfRule type="cellIs" dxfId="2215" priority="27" stopIfTrue="1" operator="equal">
      <formula>"must average at least 5 innings per start"</formula>
    </cfRule>
  </conditionalFormatting>
  <conditionalFormatting sqref="AK23">
    <cfRule type="cellIs" dxfId="2214" priority="26" stopIfTrue="1" operator="equal">
      <formula>"must have 162 starts"</formula>
    </cfRule>
  </conditionalFormatting>
  <conditionalFormatting sqref="AG3:AG22">
    <cfRule type="cellIs" dxfId="2213" priority="25" stopIfTrue="1" operator="equal">
      <formula>"must average at least 5 innings per start"</formula>
    </cfRule>
  </conditionalFormatting>
  <conditionalFormatting sqref="AG23">
    <cfRule type="cellIs" dxfId="2212" priority="24" stopIfTrue="1" operator="equal">
      <formula>"must have 162 starts"</formula>
    </cfRule>
  </conditionalFormatting>
  <conditionalFormatting sqref="AK3:AK22">
    <cfRule type="cellIs" dxfId="2211" priority="23" stopIfTrue="1" operator="equal">
      <formula>"must average at least 5 innings per start"</formula>
    </cfRule>
  </conditionalFormatting>
  <conditionalFormatting sqref="AK23">
    <cfRule type="cellIs" dxfId="2210" priority="22" stopIfTrue="1" operator="equal">
      <formula>"must have 162 starts"</formula>
    </cfRule>
  </conditionalFormatting>
  <conditionalFormatting sqref="AK3:AK22">
    <cfRule type="cellIs" dxfId="2209" priority="21" stopIfTrue="1" operator="equal">
      <formula>"must average at least 5 innings per start"</formula>
    </cfRule>
  </conditionalFormatting>
  <conditionalFormatting sqref="AK23">
    <cfRule type="cellIs" dxfId="2208" priority="20" stopIfTrue="1" operator="equal">
      <formula>"must have 162 starts"</formula>
    </cfRule>
  </conditionalFormatting>
  <conditionalFormatting sqref="AK3:AK22">
    <cfRule type="cellIs" dxfId="2207" priority="19" stopIfTrue="1" operator="equal">
      <formula>"must average at least 5 innings per start"</formula>
    </cfRule>
  </conditionalFormatting>
  <conditionalFormatting sqref="AK23">
    <cfRule type="cellIs" dxfId="2206" priority="18" stopIfTrue="1" operator="equal">
      <formula>"must have 162 starts"</formula>
    </cfRule>
  </conditionalFormatting>
  <conditionalFormatting sqref="AK3:AK22">
    <cfRule type="cellIs" dxfId="2205" priority="17" stopIfTrue="1" operator="equal">
      <formula>"must average at least 5 innings per start"</formula>
    </cfRule>
  </conditionalFormatting>
  <conditionalFormatting sqref="AK23">
    <cfRule type="cellIs" dxfId="2204" priority="16" stopIfTrue="1" operator="equal">
      <formula>"must have 162 starts"</formula>
    </cfRule>
  </conditionalFormatting>
  <conditionalFormatting sqref="AG3:AG22">
    <cfRule type="cellIs" dxfId="2203" priority="15" stopIfTrue="1" operator="equal">
      <formula>"must average at least 5 innings per start"</formula>
    </cfRule>
  </conditionalFormatting>
  <conditionalFormatting sqref="AG23">
    <cfRule type="cellIs" dxfId="2202" priority="14" stopIfTrue="1" operator="equal">
      <formula>"must have 162 starts"</formula>
    </cfRule>
  </conditionalFormatting>
  <conditionalFormatting sqref="AK3:AK22">
    <cfRule type="cellIs" dxfId="2201" priority="13" stopIfTrue="1" operator="equal">
      <formula>"must average at least 5 innings per start"</formula>
    </cfRule>
  </conditionalFormatting>
  <conditionalFormatting sqref="AK23">
    <cfRule type="cellIs" dxfId="2200" priority="12" stopIfTrue="1" operator="equal">
      <formula>"must have 162 starts"</formula>
    </cfRule>
  </conditionalFormatting>
  <conditionalFormatting sqref="AK3:AK22">
    <cfRule type="cellIs" dxfId="2199" priority="11" stopIfTrue="1" operator="equal">
      <formula>"must average at least 5 innings per start"</formula>
    </cfRule>
  </conditionalFormatting>
  <conditionalFormatting sqref="AK23">
    <cfRule type="cellIs" dxfId="2198" priority="10" stopIfTrue="1" operator="equal">
      <formula>"must have 162 starts"</formula>
    </cfRule>
  </conditionalFormatting>
  <conditionalFormatting sqref="AK3:AK22">
    <cfRule type="cellIs" dxfId="2197" priority="9" stopIfTrue="1" operator="equal">
      <formula>"must average at least 5 innings per start"</formula>
    </cfRule>
  </conditionalFormatting>
  <conditionalFormatting sqref="AK23">
    <cfRule type="cellIs" dxfId="2196" priority="8" stopIfTrue="1" operator="equal">
      <formula>"must have 162 starts"</formula>
    </cfRule>
  </conditionalFormatting>
  <conditionalFormatting sqref="AG3:AG22">
    <cfRule type="cellIs" dxfId="2195" priority="7" stopIfTrue="1" operator="equal">
      <formula>"must average at least 5 innings per start"</formula>
    </cfRule>
  </conditionalFormatting>
  <conditionalFormatting sqref="AG23">
    <cfRule type="cellIs" dxfId="2194" priority="6" stopIfTrue="1" operator="equal">
      <formula>"must have 162 starts"</formula>
    </cfRule>
  </conditionalFormatting>
  <conditionalFormatting sqref="AK3:AK22">
    <cfRule type="cellIs" dxfId="2193" priority="5" stopIfTrue="1" operator="equal">
      <formula>"must average at least 5 innings per start"</formula>
    </cfRule>
  </conditionalFormatting>
  <conditionalFormatting sqref="AK23">
    <cfRule type="cellIs" dxfId="2192" priority="4" stopIfTrue="1" operator="equal">
      <formula>"must have 162 starts"</formula>
    </cfRule>
  </conditionalFormatting>
  <conditionalFormatting sqref="AG3:AG22">
    <cfRule type="cellIs" dxfId="2191" priority="3" stopIfTrue="1" operator="equal">
      <formula>"must average at least 5 innings per start"</formula>
    </cfRule>
  </conditionalFormatting>
  <conditionalFormatting sqref="AG23">
    <cfRule type="cellIs" dxfId="2190" priority="2" stopIfTrue="1" operator="equal">
      <formula>"must have 162 starts"</formula>
    </cfRule>
  </conditionalFormatting>
  <conditionalFormatting sqref="Q2">
    <cfRule type="cellIs" dxfId="2189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18758" divId="ROTcheck_18758" sourceType="sheet" destinationFile="C:\1kading\schedule\skedont.html"/>
    <webPublishItem id="17192" divId="ROTcheck_17192" sourceType="range" sourceRef="A1:O193" destinationFile="C:\1kading\schedule\skedont.html"/>
    <webPublishItem id="29490" divId="ROTcheck_29490" sourceType="range" sourceRef="A156:O185" destinationFile="C:\1kading\schedule\skedont.html"/>
  </webPublishItems>
</worksheet>
</file>

<file path=xl/worksheets/sheet24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8" style="4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19.5703125" style="2" customWidth="1"/>
    <col min="20" max="20" width="9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7.42578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44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 t="s">
        <v>32</v>
      </c>
      <c r="C3" s="33" t="s">
        <v>40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1459</v>
      </c>
      <c r="T3" s="46" t="str">
        <f>IF(ISERROR((VLOOKUP(S3,Pitchers!$B$1:H$800,4,FALSE))),"",(VLOOKUP(S3,Pitchers!$B$1:H$800,4,FALSE)))</f>
        <v>NYM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15</v>
      </c>
      <c r="X3" s="47">
        <f>IF(ISERROR((VLOOKUP(S3,Pitchers!B$2:AA$795,11,FALSE))),"",(VLOOKUP(S3,Pitchers!B$2:AA$795,11,FALSE)))</f>
        <v>191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XY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PEN</v>
      </c>
    </row>
    <row r="4" spans="1:36" ht="12.75">
      <c r="A4" s="6">
        <v>4.0199999999999996</v>
      </c>
      <c r="B4" s="33" t="s">
        <v>32</v>
      </c>
      <c r="C4" s="33" t="s">
        <v>40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1833</v>
      </c>
      <c r="T4" s="46" t="str">
        <f>IF(ISERROR((VLOOKUP(S4,Pitchers!$B$1:H$800,4,FALSE))),"",(VLOOKUP(S4,Pitchers!$B$1:H$800,4,FALSE)))</f>
        <v>CHW</v>
      </c>
      <c r="U4" s="45" t="str">
        <f>IF(ISERROR((VLOOKUP(S4,Pitchers!B$2:AA$795,10,FALSE))),"",(VLOOKUP(S4,Pitchers!B$2:AA$795,10,FALSE)))</f>
        <v>L</v>
      </c>
      <c r="V4" s="41"/>
      <c r="W4" s="46">
        <f>IF(ISERROR((VLOOKUP(S4,Pitchers!B$2:AA$795,13,FALSE))),"",(VLOOKUP(S4,Pitchers!B$2:AA$795,13,FALSE)))</f>
        <v>12</v>
      </c>
      <c r="X4" s="47">
        <f>IF(ISERROR((VLOOKUP(S4,Pitchers!B$2:AA$795,11,FALSE))),"",(VLOOKUP(S4,Pitchers!B$2:AA$795,11,FALSE)))</f>
        <v>133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X</v>
      </c>
      <c r="AC4" s="52" t="str">
        <f>IF(ISERROR((VLOOKUP(S4,Pitchers!B$2:AA$795,17,FALSE))),"",(VLOOKUP(S4,Pitchers!B$2:AA$795,17,FALSE)))</f>
        <v>W</v>
      </c>
      <c r="AD4" s="53" t="str">
        <f>IF(ISERROR((VLOOKUP(S4,Pitchers!B$2:AA$795,18,FALSE))),"",(VLOOKUP(S4,Pitchers!B$2:AA$795,18,FALSE)))</f>
        <v>G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PEN</v>
      </c>
    </row>
    <row r="5" spans="1:36" ht="12.75">
      <c r="A5" s="6">
        <v>4.03</v>
      </c>
      <c r="B5" s="33" t="s">
        <v>32</v>
      </c>
      <c r="C5" s="33" t="s">
        <v>40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577</v>
      </c>
      <c r="T5" s="46" t="str">
        <f>IF(ISERROR((VLOOKUP(S5,Pitchers!$B$1:H$800,4,FALSE))),"",(VLOOKUP(S5,Pitchers!$B$1:H$800,4,FALSE)))</f>
        <v>CHW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11</v>
      </c>
      <c r="X5" s="47">
        <f>IF(ISERROR((VLOOKUP(S5,Pitchers!B$2:AA$795,11,FALSE))),"",(VLOOKUP(S5,Pitchers!B$2:AA$795,11,FALSE)))</f>
        <v>207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>Z</v>
      </c>
      <c r="AD5" s="53" t="str">
        <f>IF(ISERROR((VLOOKUP(S5,Pitchers!B$2:AA$795,18,FALSE))),"",(VLOOKUP(S5,Pitchers!B$2:AA$795,18,FALSE)))</f>
        <v>G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PEN</v>
      </c>
    </row>
    <row r="6" spans="1:36" ht="12.75">
      <c r="A6" s="6">
        <v>4.04</v>
      </c>
      <c r="B6" s="33" t="s">
        <v>32</v>
      </c>
      <c r="C6" s="33" t="s">
        <v>40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1296</v>
      </c>
      <c r="T6" s="46" t="str">
        <f>IF(ISERROR((VLOOKUP(S6,Pitchers!$B$1:H$800,4,FALSE))),"",(VLOOKUP(S6,Pitchers!$B$1:H$800,4,FALSE)))</f>
        <v>LAD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9</v>
      </c>
      <c r="X6" s="47">
        <f>IF(ISERROR((VLOOKUP(S6,Pitchers!B$2:AA$795,11,FALSE))),"",(VLOOKUP(S6,Pitchers!B$2:AA$795,11,FALSE)))</f>
        <v>110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PEN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362</v>
      </c>
      <c r="T7" s="46" t="str">
        <f>IF(ISERROR((VLOOKUP(S7,Pitchers!$B$1:H$800,4,FALSE))),"",(VLOOKUP(S7,Pitchers!$B$1:H$800,4,FALSE)))</f>
        <v>CHC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8</v>
      </c>
      <c r="X7" s="47">
        <f>IF(ISERROR((VLOOKUP(S7,Pitchers!B$2:AA$795,11,FALSE))),"",(VLOOKUP(S7,Pitchers!B$2:AA$795,11,FALSE)))</f>
        <v>171</v>
      </c>
      <c r="Y7" s="48"/>
      <c r="Z7" s="49"/>
      <c r="AA7" s="50"/>
      <c r="AB7" s="51" t="str">
        <f>IF(ISERROR((VLOOKUP(S7,Pitchers!B$2:AA$795,16,FALSE))),"",(VLOOKUP(S7,Pitchers!B$2:AA$795,16,FALSE)))</f>
        <v>X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17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62</v>
      </c>
      <c r="T8" s="46" t="str">
        <f>IF(ISERROR((VLOOKUP(S8,Pitchers!$B$1:H$800,4,FALSE))),"",(VLOOKUP(S8,Pitchers!$B$1:H$800,4,FALSE)))</f>
        <v>SFG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7</v>
      </c>
      <c r="X8" s="47">
        <f>IF(ISERROR((VLOOKUP(S8,Pitchers!B$2:AA$795,11,FALSE))),"",(VLOOKUP(S8,Pitchers!B$2:AA$795,11,FALSE)))</f>
        <v>116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W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PEN</v>
      </c>
    </row>
    <row r="9" spans="1:36" ht="12.75">
      <c r="A9" s="6">
        <v>4.07</v>
      </c>
      <c r="B9" s="33"/>
      <c r="C9" s="33" t="s">
        <v>17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202</v>
      </c>
      <c r="T9" s="46" t="str">
        <f>IF(ISERROR((VLOOKUP(S9,Pitchers!$B$1:H$800,4,FALSE))),"",(VLOOKUP(S9,Pitchers!$B$1:H$800,4,FALSE)))</f>
        <v>NYY</v>
      </c>
      <c r="U9" s="45" t="str">
        <f>IF(ISERROR((VLOOKUP(S9,Pitchers!B$2:AA$795,10,FALSE))),"",(VLOOKUP(S9,Pitchers!B$2:AA$795,10,FALSE)))</f>
        <v>L</v>
      </c>
      <c r="V9" s="41"/>
      <c r="W9" s="46">
        <f>IF(ISERROR((VLOOKUP(S9,Pitchers!B$2:AA$795,13,FALSE))),"",(VLOOKUP(S9,Pitchers!B$2:AA$795,13,FALSE)))</f>
        <v>1</v>
      </c>
      <c r="X9" s="47">
        <f>IF(ISERROR((VLOOKUP(S9,Pitchers!B$2:AA$795,11,FALSE))),"",(VLOOKUP(S9,Pitchers!B$2:AA$795,11,FALSE)))</f>
        <v>200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Y</v>
      </c>
      <c r="AC9" s="52" t="str">
        <f>IF(ISERROR((VLOOKUP(S9,Pitchers!B$2:AA$795,17,FALSE))),"",(VLOOKUP(S9,Pitchers!B$2:AA$795,17,FALSE)))</f>
        <v>W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PEN</v>
      </c>
    </row>
    <row r="10" spans="1:36" ht="12.75">
      <c r="A10" s="6">
        <v>4.08</v>
      </c>
      <c r="B10" s="33"/>
      <c r="C10" s="33" t="s">
        <v>17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/>
      <c r="T10" s="46" t="str">
        <f>IF(ISERROR((VLOOKUP(S10,Pitchers!$B$1:H$800,4,FALSE))),"",(VLOOKUP(S10,Pitchers!$B$1:H$800,4,FALSE)))</f>
        <v/>
      </c>
      <c r="U10" s="45" t="str">
        <f>IF(ISERROR((VLOOKUP(S10,Pitchers!B$2:AA$795,10,FALSE))),"",(VLOOKUP(S10,Pitchers!B$2:AA$795,10,FALSE)))</f>
        <v/>
      </c>
      <c r="V10" s="41"/>
      <c r="W10" s="46" t="str">
        <f>IF(ISERROR((VLOOKUP(S10,Pitchers!B$2:AA$795,13,FALSE))),"",(VLOOKUP(S10,Pitchers!B$2:AA$795,13,FALSE)))</f>
        <v/>
      </c>
      <c r="X10" s="47" t="str">
        <f>IF(ISERROR((VLOOKUP(S10,Pitchers!B$2:AA$795,11,FALSE))),"",(VLOOKUP(S10,Pitchers!B$2:AA$795,11,FALSE)))</f>
        <v/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/>
      </c>
      <c r="AC10" s="52" t="str">
        <f>IF(ISERROR((VLOOKUP(S10,Pitchers!B$2:AA$795,17,FALSE))),"",(VLOOKUP(S10,Pitchers!B$2:AA$795,17,FALSE)))</f>
        <v/>
      </c>
      <c r="AD10" s="53" t="str">
        <f>IF(ISERROR((VLOOKUP(S10,Pitchers!B$2:AA$795,18,FALSE))),"",(VLOOKUP(S10,Pitchers!B$2:AA$795,18,FALSE)))</f>
        <v/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PEN</v>
      </c>
    </row>
    <row r="11" spans="1:36" ht="12.75">
      <c r="A11" s="6">
        <v>4.09</v>
      </c>
      <c r="B11" s="33"/>
      <c r="C11" s="33" t="s">
        <v>17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/>
      <c r="T11" s="46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PEN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7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13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PEN</v>
      </c>
    </row>
    <row r="14" spans="1:36" ht="12.75">
      <c r="A14" s="6">
        <v>4.12</v>
      </c>
      <c r="B14" s="33"/>
      <c r="C14" s="33" t="s">
        <v>13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PEN</v>
      </c>
    </row>
    <row r="15" spans="1:36" ht="12.75">
      <c r="A15" s="6">
        <v>4.13</v>
      </c>
      <c r="B15" s="33"/>
      <c r="C15" s="33" t="s">
        <v>13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PEN</v>
      </c>
    </row>
    <row r="16" spans="1:36" ht="12.75">
      <c r="A16" s="6">
        <v>4.1399999999999997</v>
      </c>
      <c r="B16" s="33"/>
      <c r="C16" s="33" t="s">
        <v>13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PEN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2" t="s">
        <v>32</v>
      </c>
      <c r="C18" s="33" t="s">
        <v>35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PEN</v>
      </c>
    </row>
    <row r="19" spans="1:36" ht="12.75">
      <c r="A19" s="6">
        <v>4.17</v>
      </c>
      <c r="B19" s="32" t="s">
        <v>32</v>
      </c>
      <c r="C19" s="33" t="s">
        <v>35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PEN</v>
      </c>
    </row>
    <row r="20" spans="1:36" ht="12.75">
      <c r="A20" s="6">
        <v>4.18</v>
      </c>
      <c r="B20" s="32" t="s">
        <v>32</v>
      </c>
      <c r="C20" s="33" t="s">
        <v>35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PEN</v>
      </c>
    </row>
    <row r="21" spans="1:36" ht="12.75">
      <c r="A21" s="6">
        <v>4.1900000000000004</v>
      </c>
      <c r="B21" s="32" t="s">
        <v>32</v>
      </c>
      <c r="C21" s="33" t="s">
        <v>35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PEN</v>
      </c>
    </row>
    <row r="22" spans="1:36" ht="12.75">
      <c r="A22" s="6">
        <v>4.2</v>
      </c>
      <c r="B22" s="32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2" t="s">
        <v>32</v>
      </c>
      <c r="C23" s="33" t="s">
        <v>1918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PEN</v>
      </c>
    </row>
    <row r="24" spans="1:36" ht="12.75">
      <c r="A24" s="6">
        <v>4.22</v>
      </c>
      <c r="B24" s="32" t="s">
        <v>32</v>
      </c>
      <c r="C24" s="33" t="s">
        <v>1918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PEN</v>
      </c>
    </row>
    <row r="25" spans="1:36" ht="12.75">
      <c r="A25" s="6">
        <v>4.2300000000000004</v>
      </c>
      <c r="B25" s="32" t="s">
        <v>32</v>
      </c>
      <c r="C25" s="33" t="s">
        <v>1918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PEN</v>
      </c>
    </row>
    <row r="26" spans="1:36" ht="12.75">
      <c r="A26" s="6">
        <v>4.24</v>
      </c>
      <c r="B26" s="32" t="s">
        <v>32</v>
      </c>
      <c r="C26" s="33" t="s">
        <v>1918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PEN</v>
      </c>
    </row>
    <row r="27" spans="1:36" ht="12.75">
      <c r="A27" s="6">
        <v>4.25</v>
      </c>
      <c r="B27" s="32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2"/>
      <c r="C28" s="33" t="s">
        <v>56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PEN</v>
      </c>
    </row>
    <row r="29" spans="1:36" ht="12.75">
      <c r="A29" s="6">
        <v>4.2699999999999996</v>
      </c>
      <c r="B29" s="32"/>
      <c r="C29" s="33" t="s">
        <v>56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PEN</v>
      </c>
    </row>
    <row r="30" spans="1:36" ht="12.75">
      <c r="A30" s="6">
        <v>4.28</v>
      </c>
      <c r="B30" s="32"/>
      <c r="C30" s="33" t="s">
        <v>56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PEN</v>
      </c>
    </row>
    <row r="31" spans="1:36" ht="12.75">
      <c r="A31" s="6">
        <v>4.29</v>
      </c>
      <c r="B31" s="32"/>
      <c r="C31" s="33" t="s">
        <v>56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PEN</v>
      </c>
    </row>
    <row r="32" spans="1:36" ht="12.75">
      <c r="A32" s="6">
        <v>4.3</v>
      </c>
      <c r="B32" s="32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/>
      <c r="C33" s="33" t="s">
        <v>55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PEN</v>
      </c>
    </row>
    <row r="34" spans="1:36" ht="12.75">
      <c r="A34" s="6">
        <v>5.0199999999999996</v>
      </c>
      <c r="B34" s="33"/>
      <c r="C34" s="33" t="s">
        <v>55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PEN</v>
      </c>
    </row>
    <row r="35" spans="1:36" ht="12.75">
      <c r="A35" s="6">
        <v>5.03</v>
      </c>
      <c r="B35" s="33"/>
      <c r="C35" s="33" t="s">
        <v>55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PEN</v>
      </c>
    </row>
    <row r="36" spans="1:36" ht="12.75">
      <c r="A36" s="6">
        <v>5.04</v>
      </c>
      <c r="B36" s="33"/>
      <c r="C36" s="33" t="s">
        <v>55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PEN</v>
      </c>
    </row>
    <row r="37" spans="1:36" ht="12.75">
      <c r="A37" s="6">
        <v>5.05</v>
      </c>
      <c r="B37" s="33"/>
      <c r="C37" s="33" t="s">
        <v>52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PEN</v>
      </c>
    </row>
    <row r="38" spans="1:36" ht="12.75">
      <c r="A38" s="6">
        <v>5.0599999999999996</v>
      </c>
      <c r="B38" s="33"/>
      <c r="C38" s="33" t="s">
        <v>52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PEN</v>
      </c>
    </row>
    <row r="39" spans="1:36" ht="12.75">
      <c r="A39" s="6">
        <v>5.07</v>
      </c>
      <c r="B39" s="33"/>
      <c r="C39" s="33" t="s">
        <v>52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PEN</v>
      </c>
    </row>
    <row r="40" spans="1:36" ht="12.75">
      <c r="A40" s="6">
        <v>5.08</v>
      </c>
      <c r="B40" s="33"/>
      <c r="C40" s="33" t="s">
        <v>52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PEN</v>
      </c>
    </row>
    <row r="41" spans="1:36" ht="12.75">
      <c r="A41" s="6">
        <v>5.09</v>
      </c>
      <c r="B41" s="32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39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PEN</v>
      </c>
    </row>
    <row r="43" spans="1:36" ht="12.75">
      <c r="A43" s="6">
        <v>5.1100000000000003</v>
      </c>
      <c r="B43" s="33"/>
      <c r="C43" s="33" t="s">
        <v>39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PEN</v>
      </c>
    </row>
    <row r="44" spans="1:36" ht="12.75">
      <c r="A44" s="6">
        <v>5.12</v>
      </c>
      <c r="B44" s="33"/>
      <c r="C44" s="33" t="s">
        <v>39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PEN</v>
      </c>
    </row>
    <row r="45" spans="1:36" ht="12.75">
      <c r="A45" s="6">
        <v>5.13</v>
      </c>
      <c r="B45" s="33"/>
      <c r="C45" s="33" t="s">
        <v>39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PEN</v>
      </c>
    </row>
    <row r="46" spans="1:36" ht="12.75">
      <c r="A46" s="6">
        <v>5.14</v>
      </c>
      <c r="B46" s="33"/>
      <c r="C46" s="33" t="s">
        <v>14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PEN</v>
      </c>
    </row>
    <row r="47" spans="1:36" ht="12.75">
      <c r="A47" s="6">
        <v>5.15</v>
      </c>
      <c r="B47" s="33"/>
      <c r="C47" s="33" t="s">
        <v>14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PEN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/>
      <c r="C49" s="33" t="s">
        <v>14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PEN</v>
      </c>
    </row>
    <row r="50" spans="1:36" ht="12.75">
      <c r="A50" s="6">
        <v>5.18</v>
      </c>
      <c r="B50" s="33"/>
      <c r="C50" s="33" t="s">
        <v>14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PEN</v>
      </c>
    </row>
    <row r="51" spans="1:36" ht="12.75">
      <c r="A51" s="6">
        <v>5.19</v>
      </c>
      <c r="B51" s="33"/>
      <c r="C51" s="33" t="s">
        <v>46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PEN</v>
      </c>
    </row>
    <row r="52" spans="1:36" ht="12.75">
      <c r="A52" s="6">
        <v>5.2</v>
      </c>
      <c r="B52" s="33"/>
      <c r="C52" s="33" t="s">
        <v>46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PEN</v>
      </c>
    </row>
    <row r="53" spans="1:36" ht="12.75">
      <c r="A53" s="6">
        <v>5.21</v>
      </c>
      <c r="B53" s="33"/>
      <c r="C53" s="33" t="s">
        <v>46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PEN</v>
      </c>
    </row>
    <row r="54" spans="1:36" ht="12.75">
      <c r="A54" s="6">
        <v>5.22</v>
      </c>
      <c r="B54" s="33"/>
      <c r="C54" s="33" t="s">
        <v>46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PEN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2" t="s">
        <v>32</v>
      </c>
      <c r="C56" s="33" t="s">
        <v>15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PEN</v>
      </c>
    </row>
    <row r="57" spans="1:36" ht="12.75">
      <c r="A57" s="6">
        <v>5.25</v>
      </c>
      <c r="B57" s="32" t="s">
        <v>32</v>
      </c>
      <c r="C57" s="33" t="s">
        <v>15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PEN</v>
      </c>
    </row>
    <row r="58" spans="1:36" ht="12.75">
      <c r="A58" s="6">
        <v>5.26</v>
      </c>
      <c r="B58" s="32" t="s">
        <v>32</v>
      </c>
      <c r="C58" s="33" t="s">
        <v>15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PEN</v>
      </c>
    </row>
    <row r="59" spans="1:36" ht="12.75">
      <c r="A59" s="6">
        <v>5.27</v>
      </c>
      <c r="B59" s="32" t="s">
        <v>32</v>
      </c>
      <c r="C59" s="33" t="s">
        <v>15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PEN</v>
      </c>
    </row>
    <row r="60" spans="1:36" ht="12.75">
      <c r="A60" s="6">
        <v>5.28</v>
      </c>
      <c r="B60" s="33"/>
      <c r="C60" s="33" t="s">
        <v>1917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PEN</v>
      </c>
    </row>
    <row r="61" spans="1:36" ht="12.75">
      <c r="A61" s="6">
        <v>5.29</v>
      </c>
      <c r="B61" s="33"/>
      <c r="C61" s="33" t="s">
        <v>1917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PEN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/>
      <c r="C63" s="33" t="s">
        <v>1917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PEN</v>
      </c>
    </row>
    <row r="64" spans="1:36" ht="12.75">
      <c r="A64" s="6">
        <v>6.01</v>
      </c>
      <c r="B64" s="33" t="s">
        <v>32</v>
      </c>
      <c r="C64" s="33" t="s">
        <v>12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PEN</v>
      </c>
    </row>
    <row r="65" spans="1:36" ht="12.75">
      <c r="A65" s="6">
        <v>6.02</v>
      </c>
      <c r="B65" s="33" t="s">
        <v>32</v>
      </c>
      <c r="C65" s="33" t="s">
        <v>12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PEN</v>
      </c>
    </row>
    <row r="66" spans="1:36" ht="12.75">
      <c r="A66" s="6">
        <v>6.03</v>
      </c>
      <c r="B66" s="33" t="s">
        <v>32</v>
      </c>
      <c r="C66" s="33" t="s">
        <v>12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PEN</v>
      </c>
    </row>
    <row r="67" spans="1:36" ht="12.75">
      <c r="A67" s="6">
        <v>6.04</v>
      </c>
      <c r="B67" s="33" t="s">
        <v>32</v>
      </c>
      <c r="C67" s="33" t="s">
        <v>12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PEN</v>
      </c>
    </row>
    <row r="68" spans="1:36" ht="12.75">
      <c r="A68" s="6">
        <v>6.05</v>
      </c>
      <c r="B68" s="33" t="s">
        <v>32</v>
      </c>
      <c r="C68" s="33" t="s">
        <v>42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PEN</v>
      </c>
    </row>
    <row r="69" spans="1:36" ht="12.75">
      <c r="A69" s="6">
        <v>6.06</v>
      </c>
      <c r="B69" s="33" t="s">
        <v>32</v>
      </c>
      <c r="C69" s="33" t="s">
        <v>42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PEN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 t="s">
        <v>32</v>
      </c>
      <c r="C71" s="33" t="s">
        <v>42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PEN</v>
      </c>
    </row>
    <row r="72" spans="1:36" ht="12.75">
      <c r="A72" s="6">
        <v>6.09</v>
      </c>
      <c r="B72" s="33" t="s">
        <v>32</v>
      </c>
      <c r="C72" s="33" t="s">
        <v>42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PEN</v>
      </c>
    </row>
    <row r="73" spans="1:36" ht="12.75">
      <c r="A73" s="6">
        <v>6.1</v>
      </c>
      <c r="B73" s="32" t="s">
        <v>32</v>
      </c>
      <c r="C73" s="33" t="s">
        <v>54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PEN</v>
      </c>
    </row>
    <row r="74" spans="1:36" ht="12.75">
      <c r="A74" s="6">
        <v>6.11</v>
      </c>
      <c r="B74" s="32" t="s">
        <v>32</v>
      </c>
      <c r="C74" s="33" t="s">
        <v>54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PEN</v>
      </c>
    </row>
    <row r="75" spans="1:36" ht="12.75">
      <c r="A75" s="6">
        <v>6.12</v>
      </c>
      <c r="B75" s="32" t="s">
        <v>32</v>
      </c>
      <c r="C75" s="33" t="s">
        <v>54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PEN</v>
      </c>
    </row>
    <row r="76" spans="1:36" ht="12.75">
      <c r="A76" s="6">
        <v>6.13</v>
      </c>
      <c r="B76" s="32" t="s">
        <v>32</v>
      </c>
      <c r="C76" s="33" t="s">
        <v>54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PEN</v>
      </c>
    </row>
    <row r="77" spans="1:36" ht="12.75">
      <c r="A77" s="6">
        <v>6.14</v>
      </c>
      <c r="B77" s="33" t="s">
        <v>32</v>
      </c>
      <c r="C77" s="33" t="s">
        <v>49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PEN</v>
      </c>
    </row>
    <row r="78" spans="1:36" ht="12.75">
      <c r="A78" s="6">
        <v>6.15</v>
      </c>
      <c r="B78" s="33" t="s">
        <v>32</v>
      </c>
      <c r="C78" s="33" t="s">
        <v>49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PEN</v>
      </c>
    </row>
    <row r="79" spans="1:36" ht="12.75">
      <c r="A79" s="6">
        <v>6.16</v>
      </c>
      <c r="B79" s="33" t="s">
        <v>32</v>
      </c>
      <c r="C79" s="33" t="s">
        <v>49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PEN</v>
      </c>
    </row>
    <row r="80" spans="1:36" ht="12.75">
      <c r="A80" s="6">
        <v>6.17</v>
      </c>
      <c r="B80" s="33" t="s">
        <v>32</v>
      </c>
      <c r="C80" s="33" t="s">
        <v>49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PEN</v>
      </c>
    </row>
    <row r="81" spans="1:36" ht="12.75">
      <c r="A81" s="6">
        <v>6.18</v>
      </c>
      <c r="B81" s="33"/>
      <c r="C81" s="33" t="s">
        <v>16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PEN</v>
      </c>
    </row>
    <row r="82" spans="1:36" ht="12.75">
      <c r="A82" s="6">
        <v>6.19</v>
      </c>
      <c r="B82" s="33"/>
      <c r="C82" s="33" t="s">
        <v>16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PEN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/>
      <c r="C84" s="33" t="s">
        <v>16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PEN</v>
      </c>
    </row>
    <row r="85" spans="1:36" ht="12.75">
      <c r="A85" s="6">
        <v>6.22</v>
      </c>
      <c r="B85" s="33"/>
      <c r="C85" s="33" t="s">
        <v>16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PEN</v>
      </c>
    </row>
    <row r="86" spans="1:36" ht="12.75">
      <c r="A86" s="6">
        <v>6.23</v>
      </c>
      <c r="B86" s="33" t="s">
        <v>32</v>
      </c>
      <c r="C86" s="33" t="s">
        <v>1191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PEN</v>
      </c>
    </row>
    <row r="87" spans="1:36" ht="12.75">
      <c r="A87" s="6">
        <v>6.24</v>
      </c>
      <c r="B87" s="33" t="s">
        <v>32</v>
      </c>
      <c r="C87" s="33" t="s">
        <v>1191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PEN</v>
      </c>
    </row>
    <row r="88" spans="1:36" ht="12.75">
      <c r="A88" s="6">
        <v>6.25</v>
      </c>
      <c r="B88" s="33" t="s">
        <v>32</v>
      </c>
      <c r="C88" s="33" t="s">
        <v>1191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PEN</v>
      </c>
    </row>
    <row r="89" spans="1:36" ht="12.75">
      <c r="A89" s="6">
        <v>6.26</v>
      </c>
      <c r="B89" s="33" t="s">
        <v>32</v>
      </c>
      <c r="C89" s="33" t="s">
        <v>1191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PEN</v>
      </c>
    </row>
    <row r="90" spans="1:36" ht="12.75">
      <c r="A90" s="6">
        <v>6.27</v>
      </c>
      <c r="B90" s="32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2.75">
      <c r="A91" s="6">
        <v>6.28</v>
      </c>
      <c r="B91" s="33"/>
      <c r="C91" s="33" t="s">
        <v>51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PEN</v>
      </c>
    </row>
    <row r="92" spans="1:36" ht="12.75">
      <c r="A92" s="6">
        <v>6.29</v>
      </c>
      <c r="B92" s="33"/>
      <c r="C92" s="33" t="s">
        <v>51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PEN</v>
      </c>
    </row>
    <row r="93" spans="1:36" ht="12.75">
      <c r="A93" s="6">
        <v>6.3</v>
      </c>
      <c r="B93" s="33"/>
      <c r="C93" s="33" t="s">
        <v>51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PEN</v>
      </c>
    </row>
    <row r="94" spans="1:36" ht="12.75">
      <c r="A94" s="6">
        <v>7.01</v>
      </c>
      <c r="B94" s="33"/>
      <c r="C94" s="33" t="s">
        <v>33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PEN</v>
      </c>
    </row>
    <row r="95" spans="1:36" ht="12.75">
      <c r="A95" s="6">
        <v>7.02</v>
      </c>
      <c r="B95" s="33"/>
      <c r="C95" s="33" t="s">
        <v>33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PEN</v>
      </c>
    </row>
    <row r="96" spans="1:36" ht="12.75">
      <c r="A96" s="6">
        <v>7.03</v>
      </c>
      <c r="B96" s="33"/>
      <c r="C96" s="33" t="s">
        <v>33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PEN</v>
      </c>
    </row>
    <row r="97" spans="1:36" ht="12.75">
      <c r="A97" s="6">
        <v>7.04</v>
      </c>
      <c r="B97" s="33" t="s">
        <v>32</v>
      </c>
      <c r="C97" s="33" t="s">
        <v>41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PEN</v>
      </c>
    </row>
    <row r="98" spans="1:36" ht="12.75">
      <c r="A98" s="6">
        <v>7.05</v>
      </c>
      <c r="B98" s="33" t="s">
        <v>32</v>
      </c>
      <c r="C98" s="33" t="s">
        <v>41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PEN</v>
      </c>
    </row>
    <row r="99" spans="1:36" ht="12.75">
      <c r="A99" s="6">
        <v>7.06</v>
      </c>
      <c r="B99" s="33" t="s">
        <v>32</v>
      </c>
      <c r="C99" s="33" t="s">
        <v>41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PEN</v>
      </c>
    </row>
    <row r="100" spans="1:36" ht="12.75">
      <c r="A100" s="6">
        <v>7.07</v>
      </c>
      <c r="B100" s="33"/>
      <c r="C100" s="33" t="s">
        <v>34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PEN</v>
      </c>
    </row>
    <row r="101" spans="1:36" ht="12.75">
      <c r="A101" s="6">
        <v>7.08</v>
      </c>
      <c r="B101" s="33"/>
      <c r="C101" s="33" t="s">
        <v>34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PEN</v>
      </c>
    </row>
    <row r="102" spans="1:36" ht="12.75">
      <c r="A102" s="6">
        <v>7.09</v>
      </c>
      <c r="B102" s="33"/>
      <c r="C102" s="33" t="s">
        <v>34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PEN</v>
      </c>
    </row>
    <row r="103" spans="1:36" ht="12.75">
      <c r="A103" s="6">
        <v>7.1</v>
      </c>
      <c r="B103" s="32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2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2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 t="s">
        <v>32</v>
      </c>
      <c r="C106" s="33" t="s">
        <v>45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PEN</v>
      </c>
    </row>
    <row r="107" spans="1:36" ht="12.75">
      <c r="A107" s="6">
        <v>7.14</v>
      </c>
      <c r="B107" s="33" t="s">
        <v>32</v>
      </c>
      <c r="C107" s="33" t="s">
        <v>45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PEN</v>
      </c>
    </row>
    <row r="108" spans="1:36" ht="12.75">
      <c r="A108" s="6">
        <v>7.15</v>
      </c>
      <c r="B108" s="33" t="s">
        <v>32</v>
      </c>
      <c r="C108" s="33" t="s">
        <v>45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PEN</v>
      </c>
    </row>
    <row r="109" spans="1:36" ht="12.75">
      <c r="A109" s="6">
        <v>7.16</v>
      </c>
      <c r="B109" s="33" t="s">
        <v>32</v>
      </c>
      <c r="C109" s="33" t="s">
        <v>43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PEN</v>
      </c>
    </row>
    <row r="110" spans="1:36" ht="12.75">
      <c r="A110" s="6">
        <v>7.17</v>
      </c>
      <c r="B110" s="33" t="s">
        <v>32</v>
      </c>
      <c r="C110" s="33" t="s">
        <v>43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PEN</v>
      </c>
    </row>
    <row r="111" spans="1:36" ht="12.75">
      <c r="A111" s="6">
        <v>7.18</v>
      </c>
      <c r="B111" s="33" t="s">
        <v>32</v>
      </c>
      <c r="C111" s="33" t="s">
        <v>43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PEN</v>
      </c>
    </row>
    <row r="112" spans="1:36" ht="12.75">
      <c r="A112" s="6">
        <v>7.19</v>
      </c>
      <c r="B112" s="33"/>
      <c r="C112" s="33" t="s">
        <v>48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PEN</v>
      </c>
    </row>
    <row r="113" spans="1:36" ht="12.75">
      <c r="A113" s="6">
        <v>7.2</v>
      </c>
      <c r="B113" s="33"/>
      <c r="C113" s="33" t="s">
        <v>48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PEN</v>
      </c>
    </row>
    <row r="114" spans="1:36" ht="12.75">
      <c r="A114" s="6">
        <v>7.21</v>
      </c>
      <c r="B114" s="33"/>
      <c r="C114" s="33" t="s">
        <v>48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PEN</v>
      </c>
    </row>
    <row r="115" spans="1:36" ht="12.75">
      <c r="A115" s="6">
        <v>7.22</v>
      </c>
      <c r="B115" s="33"/>
      <c r="C115" s="33" t="s">
        <v>48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PEN</v>
      </c>
    </row>
    <row r="116" spans="1:36" ht="12.75">
      <c r="A116" s="6">
        <v>7.23</v>
      </c>
      <c r="B116" s="33" t="s">
        <v>32</v>
      </c>
      <c r="C116" s="33" t="s">
        <v>53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PEN</v>
      </c>
    </row>
    <row r="117" spans="1:36" ht="12.75">
      <c r="A117" s="6">
        <v>7.24</v>
      </c>
      <c r="B117" s="33" t="s">
        <v>32</v>
      </c>
      <c r="C117" s="33" t="s">
        <v>53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PEN</v>
      </c>
    </row>
    <row r="118" spans="1:36" ht="12.75">
      <c r="A118" s="6">
        <v>7.25</v>
      </c>
      <c r="B118" s="33" t="s">
        <v>32</v>
      </c>
      <c r="C118" s="33" t="s">
        <v>53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PEN</v>
      </c>
    </row>
    <row r="119" spans="1:36" ht="12.75">
      <c r="A119" s="6">
        <v>7.26</v>
      </c>
      <c r="B119" s="33" t="s">
        <v>32</v>
      </c>
      <c r="C119" s="33" t="s">
        <v>53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PEN</v>
      </c>
    </row>
    <row r="120" spans="1:36" ht="12.75">
      <c r="A120" s="6">
        <v>7.27</v>
      </c>
      <c r="B120" s="33"/>
      <c r="C120" s="33" t="s">
        <v>1919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PEN</v>
      </c>
    </row>
    <row r="121" spans="1:36" ht="12.75">
      <c r="A121" s="6">
        <v>7.28</v>
      </c>
      <c r="B121" s="33"/>
      <c r="C121" s="33" t="s">
        <v>1919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PEN</v>
      </c>
    </row>
    <row r="122" spans="1:36" ht="12.75">
      <c r="A122" s="6">
        <v>7.29</v>
      </c>
      <c r="B122" s="33"/>
      <c r="C122" s="33" t="s">
        <v>1919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PEN</v>
      </c>
    </row>
    <row r="123" spans="1:36" ht="12.75">
      <c r="A123" s="6">
        <v>7.3</v>
      </c>
      <c r="B123" s="33"/>
      <c r="C123" s="33" t="s">
        <v>1919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PEN</v>
      </c>
    </row>
    <row r="124" spans="1:36" ht="12.75">
      <c r="A124" s="6">
        <v>7.31</v>
      </c>
      <c r="B124" s="32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47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PEN</v>
      </c>
    </row>
    <row r="126" spans="1:36" ht="12.75">
      <c r="A126" s="6">
        <v>8.02</v>
      </c>
      <c r="B126" s="33" t="s">
        <v>32</v>
      </c>
      <c r="C126" s="33" t="s">
        <v>47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PEN</v>
      </c>
    </row>
    <row r="127" spans="1:36" ht="12.75">
      <c r="A127" s="6">
        <v>8.0299999999999994</v>
      </c>
      <c r="B127" s="33" t="s">
        <v>32</v>
      </c>
      <c r="C127" s="33" t="s">
        <v>47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PEN</v>
      </c>
    </row>
    <row r="128" spans="1:36" ht="12.75">
      <c r="A128" s="6">
        <v>8.0399999999999991</v>
      </c>
      <c r="B128" s="33" t="s">
        <v>32</v>
      </c>
      <c r="C128" s="33" t="s">
        <v>47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PEN</v>
      </c>
    </row>
    <row r="129" spans="1:36" ht="12.75">
      <c r="A129" s="6">
        <v>8.0500000000000007</v>
      </c>
      <c r="B129" s="33" t="s">
        <v>32</v>
      </c>
      <c r="C129" s="33" t="s">
        <v>33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PEN</v>
      </c>
    </row>
    <row r="130" spans="1:36" ht="12.75">
      <c r="A130" s="6">
        <v>8.06</v>
      </c>
      <c r="B130" s="33" t="s">
        <v>32</v>
      </c>
      <c r="C130" s="33" t="s">
        <v>33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PEN</v>
      </c>
    </row>
    <row r="131" spans="1:36" ht="12.75">
      <c r="A131" s="6">
        <v>8.07</v>
      </c>
      <c r="B131" s="33" t="s">
        <v>32</v>
      </c>
      <c r="C131" s="33" t="s">
        <v>33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PEN</v>
      </c>
    </row>
    <row r="132" spans="1:36" ht="12.75">
      <c r="A132" s="6">
        <v>8.08</v>
      </c>
      <c r="B132" s="33" t="s">
        <v>32</v>
      </c>
      <c r="C132" s="33" t="s">
        <v>33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PEN</v>
      </c>
    </row>
    <row r="133" spans="1:36" ht="12.75">
      <c r="A133" s="6">
        <v>8.09</v>
      </c>
      <c r="B133" s="33"/>
      <c r="C133" s="33" t="s">
        <v>43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PEN</v>
      </c>
    </row>
    <row r="134" spans="1:36" ht="12.75">
      <c r="A134" s="6">
        <v>8.1</v>
      </c>
      <c r="B134" s="33"/>
      <c r="C134" s="33" t="s">
        <v>43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PEN</v>
      </c>
    </row>
    <row r="135" spans="1:36" ht="12.75">
      <c r="A135" s="6">
        <v>8.11</v>
      </c>
      <c r="B135" s="33"/>
      <c r="C135" s="33" t="s">
        <v>43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PEN</v>
      </c>
    </row>
    <row r="136" spans="1:36" ht="12.75">
      <c r="A136" s="6">
        <v>8.1199999999999992</v>
      </c>
      <c r="B136" s="33"/>
      <c r="C136" s="33" t="s">
        <v>43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PEN</v>
      </c>
    </row>
    <row r="137" spans="1:36" ht="12.75">
      <c r="A137" s="6">
        <v>8.1300000000000008</v>
      </c>
      <c r="B137" s="33" t="s">
        <v>32</v>
      </c>
      <c r="C137" s="33" t="s">
        <v>51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PEN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 t="s">
        <v>32</v>
      </c>
      <c r="C139" s="33" t="s">
        <v>51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PEN</v>
      </c>
    </row>
    <row r="140" spans="1:36" ht="12.75">
      <c r="A140" s="6">
        <v>8.16</v>
      </c>
      <c r="B140" s="33" t="s">
        <v>32</v>
      </c>
      <c r="C140" s="33" t="s">
        <v>51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PEN</v>
      </c>
    </row>
    <row r="141" spans="1:36" ht="12.75">
      <c r="A141" s="6">
        <v>8.17</v>
      </c>
      <c r="B141" s="33" t="s">
        <v>32</v>
      </c>
      <c r="C141" s="33" t="s">
        <v>51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PEN</v>
      </c>
    </row>
    <row r="142" spans="1:36" ht="12.75">
      <c r="A142" s="6">
        <v>8.18</v>
      </c>
      <c r="B142" s="33" t="s">
        <v>32</v>
      </c>
      <c r="C142" s="33" t="s">
        <v>55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PEN</v>
      </c>
    </row>
    <row r="143" spans="1:36" ht="12.75">
      <c r="A143" s="6">
        <v>8.19</v>
      </c>
      <c r="B143" s="33" t="s">
        <v>32</v>
      </c>
      <c r="C143" s="33" t="s">
        <v>55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PEN</v>
      </c>
    </row>
    <row r="144" spans="1:36" ht="12.75">
      <c r="A144" s="6">
        <v>8.1999999999999993</v>
      </c>
      <c r="B144" s="33" t="s">
        <v>32</v>
      </c>
      <c r="C144" s="33" t="s">
        <v>55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PEN</v>
      </c>
    </row>
    <row r="145" spans="1:36" ht="12.75">
      <c r="A145" s="6">
        <v>8.2100000000000009</v>
      </c>
      <c r="B145" s="33"/>
      <c r="C145" s="33" t="s">
        <v>45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PEN</v>
      </c>
    </row>
    <row r="146" spans="1:36" ht="12.75">
      <c r="A146" s="6">
        <v>8.2200000000000006</v>
      </c>
      <c r="B146" s="33"/>
      <c r="C146" s="33" t="s">
        <v>45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PEN</v>
      </c>
    </row>
    <row r="147" spans="1:36" ht="12.75">
      <c r="A147" s="6">
        <v>8.23</v>
      </c>
      <c r="B147" s="33"/>
      <c r="C147" s="33" t="s">
        <v>45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PEN</v>
      </c>
    </row>
    <row r="148" spans="1:36" ht="12.75">
      <c r="A148" s="6">
        <v>8.24</v>
      </c>
      <c r="B148" s="33"/>
      <c r="C148" s="33" t="s">
        <v>45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PEN</v>
      </c>
    </row>
    <row r="149" spans="1:36" ht="12.75">
      <c r="A149" s="6">
        <v>8.25</v>
      </c>
      <c r="B149" s="33"/>
      <c r="C149" s="33" t="s">
        <v>41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PEN</v>
      </c>
    </row>
    <row r="150" spans="1:36" ht="12.75">
      <c r="A150" s="6">
        <v>8.26</v>
      </c>
      <c r="B150" s="33"/>
      <c r="C150" s="33" t="s">
        <v>41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PEN</v>
      </c>
    </row>
    <row r="151" spans="1:36" ht="12.75">
      <c r="A151" s="6">
        <v>8.27</v>
      </c>
      <c r="B151" s="33"/>
      <c r="C151" s="33" t="s">
        <v>41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PEN</v>
      </c>
    </row>
    <row r="152" spans="1:36" ht="12.75">
      <c r="A152" s="6">
        <v>8.2799999999999994</v>
      </c>
      <c r="B152" s="33"/>
      <c r="C152" s="33" t="s">
        <v>41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PEN</v>
      </c>
    </row>
    <row r="153" spans="1:36" ht="12.75">
      <c r="A153" s="6">
        <v>8.2899999999999991</v>
      </c>
      <c r="B153" s="33" t="s">
        <v>32</v>
      </c>
      <c r="C153" s="33" t="s">
        <v>52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PEN</v>
      </c>
    </row>
    <row r="154" spans="1:36" ht="12.75">
      <c r="A154" s="6">
        <v>8.3000000000000007</v>
      </c>
      <c r="B154" s="33" t="s">
        <v>32</v>
      </c>
      <c r="C154" s="33" t="s">
        <v>52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PEN</v>
      </c>
    </row>
    <row r="155" spans="1:36" ht="12.75">
      <c r="A155" s="6">
        <v>8.31</v>
      </c>
      <c r="B155" s="33" t="s">
        <v>32</v>
      </c>
      <c r="C155" s="33" t="s">
        <v>52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PEN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46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PEN</v>
      </c>
    </row>
    <row r="158" spans="1:36" ht="12.75">
      <c r="A158" s="6">
        <v>9.0299999999999994</v>
      </c>
      <c r="B158" s="33" t="s">
        <v>32</v>
      </c>
      <c r="C158" s="33" t="s">
        <v>46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PEN</v>
      </c>
    </row>
    <row r="159" spans="1:36" ht="12.75">
      <c r="A159" s="6">
        <v>9.0399999999999991</v>
      </c>
      <c r="B159" s="33" t="s">
        <v>32</v>
      </c>
      <c r="C159" s="33" t="s">
        <v>46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PEN</v>
      </c>
    </row>
    <row r="160" spans="1:36" ht="12.75">
      <c r="A160" s="6">
        <v>9.0500000000000007</v>
      </c>
      <c r="B160" s="33"/>
      <c r="C160" s="33" t="s">
        <v>42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PEN</v>
      </c>
    </row>
    <row r="161" spans="1:36" ht="12.75">
      <c r="A161" s="6">
        <v>9.06</v>
      </c>
      <c r="B161" s="33"/>
      <c r="C161" s="33" t="s">
        <v>42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PEN</v>
      </c>
    </row>
    <row r="162" spans="1:36" ht="12.75">
      <c r="A162" s="6">
        <v>9.07</v>
      </c>
      <c r="B162" s="33"/>
      <c r="C162" s="33" t="s">
        <v>42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PEN</v>
      </c>
    </row>
    <row r="163" spans="1:36" ht="12.75">
      <c r="A163" s="6">
        <v>9.08</v>
      </c>
      <c r="B163" s="33" t="s">
        <v>32</v>
      </c>
      <c r="C163" s="33" t="s">
        <v>14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PEN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 t="s">
        <v>32</v>
      </c>
      <c r="C165" s="33" t="s">
        <v>14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PEN</v>
      </c>
    </row>
    <row r="166" spans="1:36" ht="12.75">
      <c r="A166" s="6">
        <v>9.11</v>
      </c>
      <c r="B166" s="33" t="s">
        <v>32</v>
      </c>
      <c r="C166" s="33" t="s">
        <v>14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PEN</v>
      </c>
    </row>
    <row r="167" spans="1:36" ht="12.75">
      <c r="A167" s="6">
        <v>9.1199999999999992</v>
      </c>
      <c r="B167" s="33" t="s">
        <v>32</v>
      </c>
      <c r="C167" s="33" t="s">
        <v>1917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PEN</v>
      </c>
    </row>
    <row r="168" spans="1:36" ht="12.75">
      <c r="A168" s="6">
        <v>9.1300000000000008</v>
      </c>
      <c r="B168" s="33" t="s">
        <v>32</v>
      </c>
      <c r="C168" s="33" t="s">
        <v>1917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PEN</v>
      </c>
    </row>
    <row r="169" spans="1:36" ht="12.75">
      <c r="A169" s="6">
        <v>9.14</v>
      </c>
      <c r="B169" s="33" t="s">
        <v>32</v>
      </c>
      <c r="C169" s="33" t="s">
        <v>1917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PEN</v>
      </c>
    </row>
    <row r="170" spans="1:36" ht="12.75">
      <c r="A170" s="6">
        <v>9.15</v>
      </c>
      <c r="B170" s="33" t="s">
        <v>32</v>
      </c>
      <c r="C170" s="33" t="s">
        <v>1917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PEN</v>
      </c>
    </row>
    <row r="171" spans="1:36" ht="12.75">
      <c r="A171" s="6">
        <v>9.16</v>
      </c>
      <c r="B171" s="33"/>
      <c r="C171" s="33" t="s">
        <v>47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PEN</v>
      </c>
    </row>
    <row r="172" spans="1:36" ht="12.75">
      <c r="A172" s="6">
        <v>9.17</v>
      </c>
      <c r="B172" s="33"/>
      <c r="C172" s="33" t="s">
        <v>47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PEN</v>
      </c>
    </row>
    <row r="173" spans="1:36" ht="12.75">
      <c r="A173" s="6">
        <v>9.18</v>
      </c>
      <c r="B173" s="33"/>
      <c r="C173" s="33" t="s">
        <v>47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PEN</v>
      </c>
    </row>
    <row r="174" spans="1:36" ht="12.75">
      <c r="A174" s="6">
        <v>9.19</v>
      </c>
      <c r="B174" s="32" t="s">
        <v>32</v>
      </c>
      <c r="C174" s="33" t="s">
        <v>34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PEN</v>
      </c>
    </row>
    <row r="175" spans="1:36" ht="12.75">
      <c r="A175" s="6">
        <v>9.1999999999999993</v>
      </c>
      <c r="B175" s="32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2" t="s">
        <v>32</v>
      </c>
      <c r="C176" s="33" t="s">
        <v>34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PEN</v>
      </c>
    </row>
    <row r="177" spans="1:36" ht="12.75">
      <c r="A177" s="6">
        <v>9.2200000000000006</v>
      </c>
      <c r="B177" s="32" t="s">
        <v>32</v>
      </c>
      <c r="C177" s="33" t="s">
        <v>34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PEN</v>
      </c>
    </row>
    <row r="178" spans="1:36" ht="12.75">
      <c r="A178" s="6">
        <v>9.23</v>
      </c>
      <c r="B178" s="32" t="s">
        <v>32</v>
      </c>
      <c r="C178" s="33" t="s">
        <v>34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PEN</v>
      </c>
    </row>
    <row r="179" spans="1:36" ht="12.75">
      <c r="A179" s="6">
        <v>9.24</v>
      </c>
      <c r="B179" s="33"/>
      <c r="C179" s="33" t="s">
        <v>40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PEN</v>
      </c>
    </row>
    <row r="180" spans="1:36" ht="12.75">
      <c r="A180" s="6">
        <v>9.25</v>
      </c>
      <c r="B180" s="33"/>
      <c r="C180" s="33" t="s">
        <v>40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PEN</v>
      </c>
    </row>
    <row r="181" spans="1:36" ht="12.75">
      <c r="A181" s="6">
        <v>9.26</v>
      </c>
      <c r="B181" s="33"/>
      <c r="C181" s="33" t="s">
        <v>40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PEN</v>
      </c>
    </row>
    <row r="182" spans="1:36" ht="12.75">
      <c r="A182" s="6">
        <v>9.27</v>
      </c>
      <c r="B182" s="33"/>
      <c r="C182" s="33" t="s">
        <v>1191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PEN</v>
      </c>
    </row>
    <row r="183" spans="1:36" ht="12.75">
      <c r="A183" s="6">
        <v>9.2799999999999994</v>
      </c>
      <c r="B183" s="33"/>
      <c r="C183" s="33" t="s">
        <v>1191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PEN</v>
      </c>
    </row>
    <row r="184" spans="1:36" ht="12.75">
      <c r="A184" s="6">
        <v>9.2899999999999991</v>
      </c>
      <c r="B184" s="33"/>
      <c r="C184" s="33" t="s">
        <v>1191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PEN</v>
      </c>
    </row>
    <row r="185" spans="1:36" ht="12.75">
      <c r="A185" s="6">
        <v>9.3000000000000007</v>
      </c>
      <c r="B185" s="33"/>
      <c r="C185" s="33" t="s">
        <v>1191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PEN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4:36"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4:36">
      <c r="K194" s="2"/>
      <c r="AJ194" s="2"/>
    </row>
    <row r="195" spans="4:36">
      <c r="K195" s="2"/>
      <c r="AJ195" s="2"/>
    </row>
    <row r="196" spans="4:36">
      <c r="K196" s="2"/>
      <c r="AJ196" s="2"/>
    </row>
    <row r="197" spans="4:36">
      <c r="K197" s="2"/>
      <c r="AJ197" s="2"/>
    </row>
    <row r="198" spans="4:36">
      <c r="K198" s="2"/>
      <c r="AJ198" s="2"/>
    </row>
    <row r="199" spans="4:36">
      <c r="K199" s="2"/>
      <c r="AJ199" s="2"/>
    </row>
    <row r="200" spans="4:36">
      <c r="K200" s="2"/>
      <c r="AJ200" s="2"/>
    </row>
    <row r="201" spans="4:36">
      <c r="K201" s="2"/>
      <c r="AJ201" s="2"/>
    </row>
    <row r="202" spans="4:36">
      <c r="K202" s="2"/>
      <c r="AJ202" s="2"/>
    </row>
    <row r="203" spans="4:36">
      <c r="K203" s="2"/>
      <c r="AJ203" s="2"/>
    </row>
    <row r="204" spans="4:36">
      <c r="AJ204" s="2"/>
    </row>
    <row r="205" spans="4:36">
      <c r="AJ205" s="2"/>
    </row>
    <row r="206" spans="4:36">
      <c r="AJ206" s="2"/>
    </row>
    <row r="207" spans="4:36">
      <c r="AJ207" s="2"/>
    </row>
    <row r="208" spans="4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0" type="noConversion"/>
  <conditionalFormatting sqref="AK3:AK22">
    <cfRule type="cellIs" dxfId="2188" priority="761" stopIfTrue="1" operator="equal">
      <formula>"must average at least 5 innings per start"</formula>
    </cfRule>
  </conditionalFormatting>
  <conditionalFormatting sqref="AK23">
    <cfRule type="cellIs" dxfId="2187" priority="762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86" priority="763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2185" priority="764" stopIfTrue="1" operator="equal">
      <formula>"input a different starter in column C"</formula>
    </cfRule>
  </conditionalFormatting>
  <conditionalFormatting sqref="AH3:AH22">
    <cfRule type="cellIs" dxfId="2184" priority="298" stopIfTrue="1" operator="equal">
      <formula>"must average at least 5 innings per start"</formula>
    </cfRule>
  </conditionalFormatting>
  <conditionalFormatting sqref="AH23">
    <cfRule type="cellIs" dxfId="2183" priority="297" stopIfTrue="1" operator="equal">
      <formula>"must have 162 starts"</formula>
    </cfRule>
  </conditionalFormatting>
  <conditionalFormatting sqref="AG3:AG22">
    <cfRule type="cellIs" dxfId="2182" priority="296" stopIfTrue="1" operator="equal">
      <formula>"must average at least 5 innings per start"</formula>
    </cfRule>
  </conditionalFormatting>
  <conditionalFormatting sqref="AG23">
    <cfRule type="cellIs" dxfId="2181" priority="295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80" priority="29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9" priority="29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8" priority="29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7" priority="29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6" priority="29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5" priority="28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4" priority="28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3" priority="28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2" priority="28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1" priority="28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170" priority="284" stopIfTrue="1" operator="equal">
      <formula>"input starter in column C"</formula>
    </cfRule>
  </conditionalFormatting>
  <conditionalFormatting sqref="P3">
    <cfRule type="cellIs" dxfId="2169" priority="283" stopIfTrue="1" operator="equal">
      <formula>"input starter in column D"</formula>
    </cfRule>
  </conditionalFormatting>
  <conditionalFormatting sqref="P4">
    <cfRule type="cellIs" dxfId="2168" priority="282" stopIfTrue="1" operator="equal">
      <formula>"input starter in column D"</formula>
    </cfRule>
  </conditionalFormatting>
  <conditionalFormatting sqref="P5">
    <cfRule type="cellIs" dxfId="2167" priority="281" stopIfTrue="1" operator="equal">
      <formula>"INPUT STARTER IN COLUMN D"</formula>
    </cfRule>
  </conditionalFormatting>
  <conditionalFormatting sqref="P6">
    <cfRule type="cellIs" dxfId="2166" priority="280" stopIfTrue="1" operator="equal">
      <formula>"INPUT STARTER IN COLUMN D"</formula>
    </cfRule>
  </conditionalFormatting>
  <conditionalFormatting sqref="P8">
    <cfRule type="cellIs" dxfId="2165" priority="279" stopIfTrue="1" operator="equal">
      <formula>"INPUT STARTER IN COLUMN D"</formula>
    </cfRule>
  </conditionalFormatting>
  <conditionalFormatting sqref="P9">
    <cfRule type="cellIs" dxfId="2164" priority="278" stopIfTrue="1" operator="equal">
      <formula>"INPUT STARTER IN COLUMN D"</formula>
    </cfRule>
  </conditionalFormatting>
  <conditionalFormatting sqref="P10">
    <cfRule type="cellIs" dxfId="2163" priority="277" stopIfTrue="1" operator="equal">
      <formula>"INPUT STARTER IN COLUMN D"</formula>
    </cfRule>
  </conditionalFormatting>
  <conditionalFormatting sqref="P11">
    <cfRule type="cellIs" dxfId="2162" priority="276" stopIfTrue="1" operator="equal">
      <formula>"INPUT STARTER IN COLUMN D"</formula>
    </cfRule>
  </conditionalFormatting>
  <conditionalFormatting sqref="P13">
    <cfRule type="cellIs" dxfId="2161" priority="275" stopIfTrue="1" operator="equal">
      <formula>"INPUT STARTER IN COLUMN D"</formula>
    </cfRule>
  </conditionalFormatting>
  <conditionalFormatting sqref="P14">
    <cfRule type="cellIs" dxfId="2160" priority="274" stopIfTrue="1" operator="equal">
      <formula>"INPUT STARTER IN COLUMN D"</formula>
    </cfRule>
  </conditionalFormatting>
  <conditionalFormatting sqref="P15">
    <cfRule type="cellIs" dxfId="2159" priority="273" stopIfTrue="1" operator="equal">
      <formula>"INPUT STARTER IN COLUMN D"</formula>
    </cfRule>
  </conditionalFormatting>
  <conditionalFormatting sqref="P16">
    <cfRule type="cellIs" dxfId="2158" priority="272" stopIfTrue="1" operator="equal">
      <formula>"INPUT STARTER IN COLUMN D"</formula>
    </cfRule>
  </conditionalFormatting>
  <conditionalFormatting sqref="P18">
    <cfRule type="cellIs" dxfId="2157" priority="271" stopIfTrue="1" operator="equal">
      <formula>"INPUT STARTER IN COLUMN D"</formula>
    </cfRule>
  </conditionalFormatting>
  <conditionalFormatting sqref="P19">
    <cfRule type="cellIs" dxfId="2156" priority="270" stopIfTrue="1" operator="equal">
      <formula>"INPUT STARTER IN COLUMN D"</formula>
    </cfRule>
  </conditionalFormatting>
  <conditionalFormatting sqref="P20">
    <cfRule type="cellIs" dxfId="2155" priority="269" stopIfTrue="1" operator="equal">
      <formula>"INPUT STARTER IN COLUMN D"</formula>
    </cfRule>
  </conditionalFormatting>
  <conditionalFormatting sqref="P21">
    <cfRule type="cellIs" dxfId="2154" priority="268" stopIfTrue="1" operator="equal">
      <formula>"INPUT STARTER IN COLUMN D"</formula>
    </cfRule>
  </conditionalFormatting>
  <conditionalFormatting sqref="P23">
    <cfRule type="cellIs" dxfId="2153" priority="267" stopIfTrue="1" operator="equal">
      <formula>"INPUT STARTER IN COLUMN D"</formula>
    </cfRule>
  </conditionalFormatting>
  <conditionalFormatting sqref="P24">
    <cfRule type="cellIs" dxfId="2152" priority="266" stopIfTrue="1" operator="equal">
      <formula>"INPUT STARTER IN COLUMN D"</formula>
    </cfRule>
  </conditionalFormatting>
  <conditionalFormatting sqref="P25">
    <cfRule type="cellIs" dxfId="2151" priority="265" stopIfTrue="1" operator="equal">
      <formula>"INPUT STARTER IN COLUMN D"</formula>
    </cfRule>
  </conditionalFormatting>
  <conditionalFormatting sqref="P26">
    <cfRule type="cellIs" dxfId="2150" priority="264" stopIfTrue="1" operator="equal">
      <formula>"INPUT STARTER IN COLUMN D"</formula>
    </cfRule>
  </conditionalFormatting>
  <conditionalFormatting sqref="P28">
    <cfRule type="cellIs" dxfId="2149" priority="263" stopIfTrue="1" operator="equal">
      <formula>"INPUT STARTER IN COLUMN D"</formula>
    </cfRule>
  </conditionalFormatting>
  <conditionalFormatting sqref="P29">
    <cfRule type="cellIs" dxfId="2148" priority="262" stopIfTrue="1" operator="equal">
      <formula>"INPUT STARTER IN COLUMN D"</formula>
    </cfRule>
  </conditionalFormatting>
  <conditionalFormatting sqref="P30">
    <cfRule type="cellIs" dxfId="2147" priority="261" stopIfTrue="1" operator="equal">
      <formula>"INPUT STARTER IN COLUMN D"</formula>
    </cfRule>
  </conditionalFormatting>
  <conditionalFormatting sqref="P31">
    <cfRule type="cellIs" dxfId="2146" priority="260" stopIfTrue="1" operator="equal">
      <formula>"INPUT STARTER IN COLUMN D"</formula>
    </cfRule>
  </conditionalFormatting>
  <conditionalFormatting sqref="P33">
    <cfRule type="cellIs" dxfId="2145" priority="259" stopIfTrue="1" operator="equal">
      <formula>"INPUT STARTER IN COLUMN D"</formula>
    </cfRule>
  </conditionalFormatting>
  <conditionalFormatting sqref="P34">
    <cfRule type="cellIs" dxfId="2144" priority="258" stopIfTrue="1" operator="equal">
      <formula>"INPUT STARTER IN COLUMN D"</formula>
    </cfRule>
  </conditionalFormatting>
  <conditionalFormatting sqref="P35">
    <cfRule type="cellIs" dxfId="2143" priority="257" stopIfTrue="1" operator="equal">
      <formula>"INPUT STARTER IN COLUMN D"</formula>
    </cfRule>
  </conditionalFormatting>
  <conditionalFormatting sqref="P36">
    <cfRule type="cellIs" dxfId="2142" priority="256" stopIfTrue="1" operator="equal">
      <formula>"INPUT STARTER IN COLUMN D"</formula>
    </cfRule>
  </conditionalFormatting>
  <conditionalFormatting sqref="P37">
    <cfRule type="cellIs" dxfId="2141" priority="255" stopIfTrue="1" operator="equal">
      <formula>"INPUT STARTER IN COLUMN D"</formula>
    </cfRule>
  </conditionalFormatting>
  <conditionalFormatting sqref="P38">
    <cfRule type="cellIs" dxfId="2140" priority="254" stopIfTrue="1" operator="equal">
      <formula>"INPUT STARTER IN COLUMN D"</formula>
    </cfRule>
  </conditionalFormatting>
  <conditionalFormatting sqref="P39">
    <cfRule type="cellIs" dxfId="2139" priority="253" stopIfTrue="1" operator="equal">
      <formula>"INPUT STARTER IN COLUMN D"</formula>
    </cfRule>
  </conditionalFormatting>
  <conditionalFormatting sqref="P40">
    <cfRule type="cellIs" dxfId="2138" priority="252" stopIfTrue="1" operator="equal">
      <formula>"INPUT STARTER IN COLUMN D"</formula>
    </cfRule>
  </conditionalFormatting>
  <conditionalFormatting sqref="P42">
    <cfRule type="cellIs" dxfId="2137" priority="251" stopIfTrue="1" operator="equal">
      <formula>"INPUT STARTER IN COLUMN D"</formula>
    </cfRule>
  </conditionalFormatting>
  <conditionalFormatting sqref="P43">
    <cfRule type="cellIs" dxfId="2136" priority="250" stopIfTrue="1" operator="equal">
      <formula>"INPUT STARTER IN COLUMN D"</formula>
    </cfRule>
  </conditionalFormatting>
  <conditionalFormatting sqref="P44">
    <cfRule type="cellIs" dxfId="2135" priority="249" stopIfTrue="1" operator="equal">
      <formula>"INPUT STARTER IN COLUMN D"</formula>
    </cfRule>
  </conditionalFormatting>
  <conditionalFormatting sqref="P45">
    <cfRule type="cellIs" dxfId="2134" priority="248" stopIfTrue="1" operator="equal">
      <formula>"INPUT STARTER IN COLUMN D"</formula>
    </cfRule>
  </conditionalFormatting>
  <conditionalFormatting sqref="P46">
    <cfRule type="cellIs" dxfId="2133" priority="247" stopIfTrue="1" operator="equal">
      <formula>"INPUT STARTER IN COLUMN D"</formula>
    </cfRule>
  </conditionalFormatting>
  <conditionalFormatting sqref="P47">
    <cfRule type="cellIs" dxfId="2132" priority="246" stopIfTrue="1" operator="equal">
      <formula>"INPUT STARTER IN COLUMN D"</formula>
    </cfRule>
  </conditionalFormatting>
  <conditionalFormatting sqref="P49">
    <cfRule type="cellIs" dxfId="2131" priority="245" stopIfTrue="1" operator="equal">
      <formula>"INPUT STARTER IN COLUMN D"</formula>
    </cfRule>
  </conditionalFormatting>
  <conditionalFormatting sqref="P50">
    <cfRule type="cellIs" dxfId="2130" priority="244" stopIfTrue="1" operator="equal">
      <formula>"INPUT STARTER IN COLUMN D"</formula>
    </cfRule>
  </conditionalFormatting>
  <conditionalFormatting sqref="P51">
    <cfRule type="cellIs" dxfId="2129" priority="243" stopIfTrue="1" operator="equal">
      <formula>"INPUT STARTER IN COLUMN D"</formula>
    </cfRule>
  </conditionalFormatting>
  <conditionalFormatting sqref="P52">
    <cfRule type="cellIs" dxfId="2128" priority="242" stopIfTrue="1" operator="equal">
      <formula>"INPUT STARTER IN COLUMN D"</formula>
    </cfRule>
  </conditionalFormatting>
  <conditionalFormatting sqref="P53">
    <cfRule type="cellIs" dxfId="2127" priority="241" stopIfTrue="1" operator="equal">
      <formula>"INPUT STARTER IN COLUMN D"</formula>
    </cfRule>
  </conditionalFormatting>
  <conditionalFormatting sqref="P54">
    <cfRule type="cellIs" dxfId="2126" priority="240" stopIfTrue="1" operator="equal">
      <formula>"INPUT STARTER IN COLUMN D"</formula>
    </cfRule>
  </conditionalFormatting>
  <conditionalFormatting sqref="P56">
    <cfRule type="cellIs" dxfId="2125" priority="239" stopIfTrue="1" operator="equal">
      <formula>"INPUT STARTER IN COLUMN D"</formula>
    </cfRule>
  </conditionalFormatting>
  <conditionalFormatting sqref="P57">
    <cfRule type="cellIs" dxfId="2124" priority="238" stopIfTrue="1" operator="equal">
      <formula>"INPUT STARTER IN COLUMN D"</formula>
    </cfRule>
  </conditionalFormatting>
  <conditionalFormatting sqref="P58">
    <cfRule type="cellIs" dxfId="2123" priority="237" stopIfTrue="1" operator="equal">
      <formula>"INPUT STARTER IN COLUMN D"</formula>
    </cfRule>
  </conditionalFormatting>
  <conditionalFormatting sqref="P59">
    <cfRule type="cellIs" dxfId="2122" priority="236" stopIfTrue="1" operator="equal">
      <formula>"INPUT STARTER IN COLUMN D"</formula>
    </cfRule>
  </conditionalFormatting>
  <conditionalFormatting sqref="P60">
    <cfRule type="cellIs" dxfId="2121" priority="235" stopIfTrue="1" operator="equal">
      <formula>"INPUT STARTER IN COLUMN D"</formula>
    </cfRule>
  </conditionalFormatting>
  <conditionalFormatting sqref="P61">
    <cfRule type="cellIs" dxfId="2120" priority="234" stopIfTrue="1" operator="equal">
      <formula>"INPUT STARTER IN COLUMN D"</formula>
    </cfRule>
  </conditionalFormatting>
  <conditionalFormatting sqref="P63">
    <cfRule type="cellIs" dxfId="2119" priority="233" stopIfTrue="1" operator="equal">
      <formula>"INPUT STARTER IN COLUMN D"</formula>
    </cfRule>
  </conditionalFormatting>
  <conditionalFormatting sqref="P64">
    <cfRule type="cellIs" dxfId="2118" priority="232" stopIfTrue="1" operator="equal">
      <formula>"INPUT STARTER IN COLUMN D"</formula>
    </cfRule>
  </conditionalFormatting>
  <conditionalFormatting sqref="P65">
    <cfRule type="cellIs" dxfId="2117" priority="231" stopIfTrue="1" operator="equal">
      <formula>"INPUT STARTER IN COLUMN D"</formula>
    </cfRule>
  </conditionalFormatting>
  <conditionalFormatting sqref="P66">
    <cfRule type="cellIs" dxfId="2116" priority="230" stopIfTrue="1" operator="equal">
      <formula>"INPUT STARTER IN COLUMN D"</formula>
    </cfRule>
  </conditionalFormatting>
  <conditionalFormatting sqref="P67">
    <cfRule type="cellIs" dxfId="2115" priority="229" stopIfTrue="1" operator="equal">
      <formula>"INPUT STARTER IN COLUMN D"</formula>
    </cfRule>
  </conditionalFormatting>
  <conditionalFormatting sqref="P68">
    <cfRule type="cellIs" dxfId="2114" priority="228" stopIfTrue="1" operator="equal">
      <formula>"INPUT STARTER IN COLUMN D"</formula>
    </cfRule>
  </conditionalFormatting>
  <conditionalFormatting sqref="P69">
    <cfRule type="cellIs" dxfId="2113" priority="227" stopIfTrue="1" operator="equal">
      <formula>"INPUT STARTER IN COLUMN D"</formula>
    </cfRule>
  </conditionalFormatting>
  <conditionalFormatting sqref="P71">
    <cfRule type="cellIs" dxfId="2112" priority="226" stopIfTrue="1" operator="equal">
      <formula>"INPUT STARTER IN COLUMN D"</formula>
    </cfRule>
  </conditionalFormatting>
  <conditionalFormatting sqref="P72">
    <cfRule type="cellIs" dxfId="2111" priority="225" stopIfTrue="1" operator="equal">
      <formula>"INPUT STARTER IN COLUMN D"</formula>
    </cfRule>
  </conditionalFormatting>
  <conditionalFormatting sqref="P73">
    <cfRule type="cellIs" dxfId="2110" priority="224" stopIfTrue="1" operator="equal">
      <formula>"INPUT STARTER IN COLUMN D"</formula>
    </cfRule>
  </conditionalFormatting>
  <conditionalFormatting sqref="P74">
    <cfRule type="cellIs" dxfId="2109" priority="223" stopIfTrue="1" operator="equal">
      <formula>"INPUT STARTER IN COLUMN D"</formula>
    </cfRule>
  </conditionalFormatting>
  <conditionalFormatting sqref="P75">
    <cfRule type="cellIs" dxfId="2108" priority="222" stopIfTrue="1" operator="equal">
      <formula>"INPUT STARTER IN COLUMN D"</formula>
    </cfRule>
  </conditionalFormatting>
  <conditionalFormatting sqref="P76">
    <cfRule type="cellIs" dxfId="2107" priority="221" stopIfTrue="1" operator="equal">
      <formula>"INPUT STARTER IN COLUMN D"</formula>
    </cfRule>
  </conditionalFormatting>
  <conditionalFormatting sqref="P77">
    <cfRule type="cellIs" dxfId="2106" priority="220" stopIfTrue="1" operator="equal">
      <formula>"INPUT STARTER IN COLUMN D"</formula>
    </cfRule>
  </conditionalFormatting>
  <conditionalFormatting sqref="P78">
    <cfRule type="cellIs" dxfId="2105" priority="219" stopIfTrue="1" operator="equal">
      <formula>"INPUT STARTER IN COLUMN D"</formula>
    </cfRule>
  </conditionalFormatting>
  <conditionalFormatting sqref="P79">
    <cfRule type="cellIs" dxfId="2104" priority="218" stopIfTrue="1" operator="equal">
      <formula>"INPUT STARTER IN COLUMN D"</formula>
    </cfRule>
  </conditionalFormatting>
  <conditionalFormatting sqref="P80">
    <cfRule type="cellIs" dxfId="2103" priority="217" stopIfTrue="1" operator="equal">
      <formula>"INPUT STARTER IN COLUMN D"</formula>
    </cfRule>
  </conditionalFormatting>
  <conditionalFormatting sqref="P81">
    <cfRule type="cellIs" dxfId="2102" priority="216" stopIfTrue="1" operator="equal">
      <formula>"INPUT STARTER IN COLUMN D"</formula>
    </cfRule>
  </conditionalFormatting>
  <conditionalFormatting sqref="P82">
    <cfRule type="cellIs" dxfId="2101" priority="215" stopIfTrue="1" operator="equal">
      <formula>"INPUT STARTER IN COLUMN D"</formula>
    </cfRule>
  </conditionalFormatting>
  <conditionalFormatting sqref="P84">
    <cfRule type="cellIs" dxfId="2100" priority="214" stopIfTrue="1" operator="equal">
      <formula>"INPUT STARTER IN COLUMN D"</formula>
    </cfRule>
  </conditionalFormatting>
  <conditionalFormatting sqref="P85">
    <cfRule type="cellIs" dxfId="2099" priority="213" stopIfTrue="1" operator="equal">
      <formula>"INPUT STARTER IN COLUMN D"</formula>
    </cfRule>
  </conditionalFormatting>
  <conditionalFormatting sqref="P86">
    <cfRule type="cellIs" dxfId="2098" priority="212" stopIfTrue="1" operator="equal">
      <formula>"INPUT STARTER IN COLUMN D"</formula>
    </cfRule>
  </conditionalFormatting>
  <conditionalFormatting sqref="P87">
    <cfRule type="cellIs" dxfId="2097" priority="211" stopIfTrue="1" operator="equal">
      <formula>"INPUT STARTER IN COLUMN D"</formula>
    </cfRule>
  </conditionalFormatting>
  <conditionalFormatting sqref="P88">
    <cfRule type="cellIs" dxfId="2096" priority="210" stopIfTrue="1" operator="equal">
      <formula>"INPUT STARTER IN COLUMN D"</formula>
    </cfRule>
  </conditionalFormatting>
  <conditionalFormatting sqref="P89">
    <cfRule type="cellIs" dxfId="2095" priority="209" stopIfTrue="1" operator="equal">
      <formula>"INPUT STARTER IN COLUMN D"</formula>
    </cfRule>
  </conditionalFormatting>
  <conditionalFormatting sqref="P91">
    <cfRule type="cellIs" dxfId="2094" priority="208" stopIfTrue="1" operator="equal">
      <formula>"INPUT STARTER IN COLUMN D"</formula>
    </cfRule>
  </conditionalFormatting>
  <conditionalFormatting sqref="P92">
    <cfRule type="cellIs" dxfId="2093" priority="207" stopIfTrue="1" operator="equal">
      <formula>"INPUT STARTER IN COLUMN D"</formula>
    </cfRule>
  </conditionalFormatting>
  <conditionalFormatting sqref="P93">
    <cfRule type="cellIs" dxfId="2092" priority="206" stopIfTrue="1" operator="equal">
      <formula>"INPUT STARTER IN COLUMN D"</formula>
    </cfRule>
  </conditionalFormatting>
  <conditionalFormatting sqref="P94">
    <cfRule type="cellIs" dxfId="2091" priority="205" stopIfTrue="1" operator="equal">
      <formula>"INPUT STARTER IN COLUMN D"</formula>
    </cfRule>
  </conditionalFormatting>
  <conditionalFormatting sqref="P95">
    <cfRule type="cellIs" dxfId="2090" priority="204" stopIfTrue="1" operator="equal">
      <formula>"INPUT STARTER IN COLUMN D"</formula>
    </cfRule>
  </conditionalFormatting>
  <conditionalFormatting sqref="P96">
    <cfRule type="cellIs" dxfId="2089" priority="203" stopIfTrue="1" operator="equal">
      <formula>"INPUT STARTER IN COLUMN D"</formula>
    </cfRule>
  </conditionalFormatting>
  <conditionalFormatting sqref="P97">
    <cfRule type="cellIs" dxfId="2088" priority="202" stopIfTrue="1" operator="equal">
      <formula>"INPUT STARTER IN COLUMN D"</formula>
    </cfRule>
  </conditionalFormatting>
  <conditionalFormatting sqref="P98">
    <cfRule type="cellIs" dxfId="2087" priority="201" stopIfTrue="1" operator="equal">
      <formula>"INPUT STARTER IN COLUMN D"</formula>
    </cfRule>
  </conditionalFormatting>
  <conditionalFormatting sqref="P99">
    <cfRule type="cellIs" dxfId="2086" priority="200" stopIfTrue="1" operator="equal">
      <formula>"INPUT STARTER IN COLUMN D"</formula>
    </cfRule>
  </conditionalFormatting>
  <conditionalFormatting sqref="P100">
    <cfRule type="cellIs" dxfId="2085" priority="199" stopIfTrue="1" operator="equal">
      <formula>"INPUT STARTER IN COLUMN D"</formula>
    </cfRule>
  </conditionalFormatting>
  <conditionalFormatting sqref="P101">
    <cfRule type="cellIs" dxfId="2084" priority="198" stopIfTrue="1" operator="equal">
      <formula>"INPUT STARTER IN COLUMN D"</formula>
    </cfRule>
  </conditionalFormatting>
  <conditionalFormatting sqref="P102">
    <cfRule type="cellIs" dxfId="2083" priority="197" stopIfTrue="1" operator="equal">
      <formula>"INPUT STARTER IN COLUMN D"</formula>
    </cfRule>
  </conditionalFormatting>
  <conditionalFormatting sqref="P106">
    <cfRule type="cellIs" dxfId="2082" priority="196" stopIfTrue="1" operator="equal">
      <formula>"INPUT STARTER IN COLUMN D"</formula>
    </cfRule>
  </conditionalFormatting>
  <conditionalFormatting sqref="P107">
    <cfRule type="cellIs" dxfId="2081" priority="195" stopIfTrue="1" operator="equal">
      <formula>"INPUT STARTER IN COLUMN D"</formula>
    </cfRule>
  </conditionalFormatting>
  <conditionalFormatting sqref="P108">
    <cfRule type="cellIs" dxfId="2080" priority="194" stopIfTrue="1" operator="equal">
      <formula>"INPUT STARTER IN COLUMN D"</formula>
    </cfRule>
  </conditionalFormatting>
  <conditionalFormatting sqref="P109">
    <cfRule type="cellIs" dxfId="2079" priority="193" stopIfTrue="1" operator="equal">
      <formula>"INPUT STARTER IN COLUMN D"</formula>
    </cfRule>
  </conditionalFormatting>
  <conditionalFormatting sqref="P110">
    <cfRule type="cellIs" dxfId="2078" priority="192" stopIfTrue="1" operator="equal">
      <formula>"INPUT STARTER IN COLUMN D"</formula>
    </cfRule>
  </conditionalFormatting>
  <conditionalFormatting sqref="P111">
    <cfRule type="cellIs" dxfId="2077" priority="191" stopIfTrue="1" operator="equal">
      <formula>"INPUT STARTER IN COLUMN D"</formula>
    </cfRule>
  </conditionalFormatting>
  <conditionalFormatting sqref="P112">
    <cfRule type="cellIs" dxfId="2076" priority="190" stopIfTrue="1" operator="equal">
      <formula>"INPUT STARTER IN COLUMN D"</formula>
    </cfRule>
  </conditionalFormatting>
  <conditionalFormatting sqref="P113">
    <cfRule type="cellIs" dxfId="2075" priority="189" stopIfTrue="1" operator="equal">
      <formula>"INPUT STARTER IN COLUMN D"</formula>
    </cfRule>
  </conditionalFormatting>
  <conditionalFormatting sqref="P114">
    <cfRule type="cellIs" dxfId="2074" priority="188" stopIfTrue="1" operator="equal">
      <formula>"INPUT STARTER IN COLUMN D"</formula>
    </cfRule>
  </conditionalFormatting>
  <conditionalFormatting sqref="P115">
    <cfRule type="cellIs" dxfId="2073" priority="187" stopIfTrue="1" operator="equal">
      <formula>"INPUT STARTER IN COLUMN D"</formula>
    </cfRule>
  </conditionalFormatting>
  <conditionalFormatting sqref="P116">
    <cfRule type="cellIs" dxfId="2072" priority="186" stopIfTrue="1" operator="equal">
      <formula>"INPUT STARTER IN COLUMN D"</formula>
    </cfRule>
  </conditionalFormatting>
  <conditionalFormatting sqref="P117">
    <cfRule type="cellIs" dxfId="2071" priority="185" stopIfTrue="1" operator="equal">
      <formula>"INPUT STARTER IN COLUMN D"</formula>
    </cfRule>
  </conditionalFormatting>
  <conditionalFormatting sqref="P118">
    <cfRule type="cellIs" dxfId="2070" priority="184" stopIfTrue="1" operator="equal">
      <formula>"INPUT STARTER IN COLUMN D"</formula>
    </cfRule>
  </conditionalFormatting>
  <conditionalFormatting sqref="P119">
    <cfRule type="cellIs" dxfId="2069" priority="183" stopIfTrue="1" operator="equal">
      <formula>"INPUT STARTER IN COLUMN D"</formula>
    </cfRule>
  </conditionalFormatting>
  <conditionalFormatting sqref="P120">
    <cfRule type="cellIs" dxfId="2068" priority="182" stopIfTrue="1" operator="equal">
      <formula>"INPUT STARTER IN COLUMN D"</formula>
    </cfRule>
  </conditionalFormatting>
  <conditionalFormatting sqref="P121">
    <cfRule type="cellIs" dxfId="2067" priority="181" stopIfTrue="1" operator="equal">
      <formula>"INPUT STARTER IN COLUMN D"</formula>
    </cfRule>
  </conditionalFormatting>
  <conditionalFormatting sqref="P122">
    <cfRule type="cellIs" dxfId="2066" priority="180" stopIfTrue="1" operator="equal">
      <formula>"INPUT STARTER IN COLUMN D"</formula>
    </cfRule>
  </conditionalFormatting>
  <conditionalFormatting sqref="P123">
    <cfRule type="cellIs" dxfId="2065" priority="179" stopIfTrue="1" operator="equal">
      <formula>"INPUT STARTER IN COLUMN D"</formula>
    </cfRule>
  </conditionalFormatting>
  <conditionalFormatting sqref="P125">
    <cfRule type="cellIs" dxfId="2064" priority="178" stopIfTrue="1" operator="equal">
      <formula>"INPUT STARTER IN COLUMN D"</formula>
    </cfRule>
  </conditionalFormatting>
  <conditionalFormatting sqref="P126">
    <cfRule type="cellIs" dxfId="2063" priority="177" stopIfTrue="1" operator="equal">
      <formula>"INPUT STARTER IN COLUMN D"</formula>
    </cfRule>
  </conditionalFormatting>
  <conditionalFormatting sqref="P127">
    <cfRule type="cellIs" dxfId="2062" priority="176" stopIfTrue="1" operator="equal">
      <formula>"INPUT STARTER IN COLUMN D"</formula>
    </cfRule>
  </conditionalFormatting>
  <conditionalFormatting sqref="P128">
    <cfRule type="cellIs" dxfId="2061" priority="175" stopIfTrue="1" operator="equal">
      <formula>"INPUT STARTER IN COLUMN D"</formula>
    </cfRule>
  </conditionalFormatting>
  <conditionalFormatting sqref="P129">
    <cfRule type="cellIs" dxfId="2060" priority="174" stopIfTrue="1" operator="equal">
      <formula>"INPUT STARTER IN COLUMN D"</formula>
    </cfRule>
  </conditionalFormatting>
  <conditionalFormatting sqref="P130">
    <cfRule type="cellIs" dxfId="2059" priority="173" stopIfTrue="1" operator="equal">
      <formula>"INPUT STARTER IN COLUMN D"</formula>
    </cfRule>
  </conditionalFormatting>
  <conditionalFormatting sqref="P131">
    <cfRule type="cellIs" dxfId="2058" priority="172" stopIfTrue="1" operator="equal">
      <formula>"INPUT STARTER IN COLUMN D"</formula>
    </cfRule>
  </conditionalFormatting>
  <conditionalFormatting sqref="P132">
    <cfRule type="cellIs" dxfId="2057" priority="171" stopIfTrue="1" operator="equal">
      <formula>"INPUT STARTER IN COLUMN D"</formula>
    </cfRule>
  </conditionalFormatting>
  <conditionalFormatting sqref="P133">
    <cfRule type="cellIs" dxfId="2056" priority="170" stopIfTrue="1" operator="equal">
      <formula>"INPUT STARTER IN COLUMN D"</formula>
    </cfRule>
  </conditionalFormatting>
  <conditionalFormatting sqref="P134">
    <cfRule type="cellIs" dxfId="2055" priority="169" stopIfTrue="1" operator="equal">
      <formula>"INPUT STARTER IN COLUMN D"</formula>
    </cfRule>
  </conditionalFormatting>
  <conditionalFormatting sqref="P135">
    <cfRule type="cellIs" dxfId="2054" priority="168" stopIfTrue="1" operator="equal">
      <formula>"INPUT STARTER IN COLUMN D"</formula>
    </cfRule>
  </conditionalFormatting>
  <conditionalFormatting sqref="P136">
    <cfRule type="cellIs" dxfId="2053" priority="167" stopIfTrue="1" operator="equal">
      <formula>"INPUT STARTER IN COLUMN D"</formula>
    </cfRule>
  </conditionalFormatting>
  <conditionalFormatting sqref="P137">
    <cfRule type="cellIs" dxfId="2052" priority="166" stopIfTrue="1" operator="equal">
      <formula>"INPUT STARTER IN COLUMN D"</formula>
    </cfRule>
  </conditionalFormatting>
  <conditionalFormatting sqref="P139">
    <cfRule type="cellIs" dxfId="2051" priority="165" stopIfTrue="1" operator="equal">
      <formula>"INPUT STARTER IN COLUMN D"</formula>
    </cfRule>
  </conditionalFormatting>
  <conditionalFormatting sqref="P140">
    <cfRule type="cellIs" dxfId="2050" priority="164" stopIfTrue="1" operator="equal">
      <formula>"INPUT STARTER IN COLUMN D"</formula>
    </cfRule>
  </conditionalFormatting>
  <conditionalFormatting sqref="P141">
    <cfRule type="cellIs" dxfId="2049" priority="163" stopIfTrue="1" operator="equal">
      <formula>"INPUT STARTER IN COLUMN D"</formula>
    </cfRule>
  </conditionalFormatting>
  <conditionalFormatting sqref="P142">
    <cfRule type="cellIs" dxfId="2048" priority="162" stopIfTrue="1" operator="equal">
      <formula>"INPUT STARTER IN COLUMN D"</formula>
    </cfRule>
  </conditionalFormatting>
  <conditionalFormatting sqref="P143">
    <cfRule type="cellIs" dxfId="2047" priority="161" stopIfTrue="1" operator="equal">
      <formula>"INPUT STARTER IN COLUMN D"</formula>
    </cfRule>
  </conditionalFormatting>
  <conditionalFormatting sqref="P144">
    <cfRule type="cellIs" dxfId="2046" priority="160" stopIfTrue="1" operator="equal">
      <formula>"INPUT STARTER IN COLUMN D"</formula>
    </cfRule>
  </conditionalFormatting>
  <conditionalFormatting sqref="P145">
    <cfRule type="cellIs" dxfId="2045" priority="159" stopIfTrue="1" operator="equal">
      <formula>"INPUT STARTER IN COLUMN D"</formula>
    </cfRule>
  </conditionalFormatting>
  <conditionalFormatting sqref="P146">
    <cfRule type="cellIs" dxfId="2044" priority="158" stopIfTrue="1" operator="equal">
      <formula>"INPUT STARTER IN COLUMN D"</formula>
    </cfRule>
  </conditionalFormatting>
  <conditionalFormatting sqref="P147">
    <cfRule type="cellIs" dxfId="2043" priority="157" stopIfTrue="1" operator="equal">
      <formula>"INPUT STARTER IN COLUMN D"</formula>
    </cfRule>
  </conditionalFormatting>
  <conditionalFormatting sqref="P148">
    <cfRule type="cellIs" dxfId="2042" priority="156" stopIfTrue="1" operator="equal">
      <formula>"INPUT STARTER IN COLUMN D"</formula>
    </cfRule>
  </conditionalFormatting>
  <conditionalFormatting sqref="P149">
    <cfRule type="cellIs" dxfId="2041" priority="155" stopIfTrue="1" operator="equal">
      <formula>"INPUT STARTER IN COLUMN D"</formula>
    </cfRule>
  </conditionalFormatting>
  <conditionalFormatting sqref="P150">
    <cfRule type="cellIs" dxfId="2040" priority="154" stopIfTrue="1" operator="equal">
      <formula>"INPUT STARTER IN COLUMN D"</formula>
    </cfRule>
  </conditionalFormatting>
  <conditionalFormatting sqref="P151">
    <cfRule type="cellIs" dxfId="2039" priority="153" stopIfTrue="1" operator="equal">
      <formula>"INPUT STARTER IN COLUMN D"</formula>
    </cfRule>
  </conditionalFormatting>
  <conditionalFormatting sqref="P152">
    <cfRule type="cellIs" dxfId="2038" priority="152" stopIfTrue="1" operator="equal">
      <formula>"INPUT STARTER IN COLUMN D"</formula>
    </cfRule>
  </conditionalFormatting>
  <conditionalFormatting sqref="P153">
    <cfRule type="cellIs" dxfId="2037" priority="151" stopIfTrue="1" operator="equal">
      <formula>"INPUT STARTER IN COLUMN D"</formula>
    </cfRule>
  </conditionalFormatting>
  <conditionalFormatting sqref="P154">
    <cfRule type="cellIs" dxfId="2036" priority="150" stopIfTrue="1" operator="equal">
      <formula>"INPUT STARTER IN COLUMN D"</formula>
    </cfRule>
  </conditionalFormatting>
  <conditionalFormatting sqref="P155">
    <cfRule type="cellIs" dxfId="2035" priority="149" stopIfTrue="1" operator="equal">
      <formula>"INPUT STARTER IN COLUMN D"</formula>
    </cfRule>
  </conditionalFormatting>
  <conditionalFormatting sqref="P157">
    <cfRule type="cellIs" dxfId="2034" priority="148" stopIfTrue="1" operator="equal">
      <formula>"INPUT STARTER IN COLUMN D"</formula>
    </cfRule>
  </conditionalFormatting>
  <conditionalFormatting sqref="P158">
    <cfRule type="cellIs" dxfId="2033" priority="147" stopIfTrue="1" operator="equal">
      <formula>"INPUT STARTER IN COLUMN D"</formula>
    </cfRule>
  </conditionalFormatting>
  <conditionalFormatting sqref="P159">
    <cfRule type="cellIs" dxfId="2032" priority="146" stopIfTrue="1" operator="equal">
      <formula>"INPUT STARTER IN COLUMN D"</formula>
    </cfRule>
  </conditionalFormatting>
  <conditionalFormatting sqref="P160">
    <cfRule type="cellIs" dxfId="2031" priority="145" stopIfTrue="1" operator="equal">
      <formula>"INPUT STARTER IN COLUMN D"</formula>
    </cfRule>
  </conditionalFormatting>
  <conditionalFormatting sqref="P161">
    <cfRule type="cellIs" dxfId="2030" priority="144" stopIfTrue="1" operator="equal">
      <formula>"INPUT STARTER IN COLUMN D"</formula>
    </cfRule>
  </conditionalFormatting>
  <conditionalFormatting sqref="P162">
    <cfRule type="cellIs" dxfId="2029" priority="143" stopIfTrue="1" operator="equal">
      <formula>"INPUT STARTER IN COLUMN D"</formula>
    </cfRule>
  </conditionalFormatting>
  <conditionalFormatting sqref="P163">
    <cfRule type="cellIs" dxfId="2028" priority="142" stopIfTrue="1" operator="equal">
      <formula>"INPUT STARTER IN COLUMN D"</formula>
    </cfRule>
  </conditionalFormatting>
  <conditionalFormatting sqref="P165">
    <cfRule type="cellIs" dxfId="2027" priority="141" stopIfTrue="1" operator="equal">
      <formula>"INPUT STARTER IN COLUMN D"</formula>
    </cfRule>
  </conditionalFormatting>
  <conditionalFormatting sqref="P166">
    <cfRule type="cellIs" dxfId="2026" priority="140" stopIfTrue="1" operator="equal">
      <formula>"INPUT STARTER IN COLUMN D"</formula>
    </cfRule>
  </conditionalFormatting>
  <conditionalFormatting sqref="P167">
    <cfRule type="cellIs" dxfId="2025" priority="139" stopIfTrue="1" operator="equal">
      <formula>"INPUT STARTER IN COLUMN D"</formula>
    </cfRule>
  </conditionalFormatting>
  <conditionalFormatting sqref="P168">
    <cfRule type="cellIs" dxfId="2024" priority="138" stopIfTrue="1" operator="equal">
      <formula>"INPUT STARTER IN COLUMN D"</formula>
    </cfRule>
  </conditionalFormatting>
  <conditionalFormatting sqref="P169">
    <cfRule type="cellIs" dxfId="2023" priority="137" stopIfTrue="1" operator="equal">
      <formula>"INPUT STARTER IN COLUMN D"</formula>
    </cfRule>
  </conditionalFormatting>
  <conditionalFormatting sqref="P170">
    <cfRule type="cellIs" dxfId="2022" priority="136" stopIfTrue="1" operator="equal">
      <formula>"INPUT STARTER IN COLUMN D"</formula>
    </cfRule>
  </conditionalFormatting>
  <conditionalFormatting sqref="P171">
    <cfRule type="cellIs" dxfId="2021" priority="135" stopIfTrue="1" operator="equal">
      <formula>"INPUT STARTER IN COLUMN D"</formula>
    </cfRule>
  </conditionalFormatting>
  <conditionalFormatting sqref="P172">
    <cfRule type="cellIs" dxfId="2020" priority="134" stopIfTrue="1" operator="equal">
      <formula>"INPUT STARTER IN COLUMN D"</formula>
    </cfRule>
  </conditionalFormatting>
  <conditionalFormatting sqref="P173">
    <cfRule type="cellIs" dxfId="2019" priority="133" stopIfTrue="1" operator="equal">
      <formula>"INPUT STARTER IN COLUMN D"</formula>
    </cfRule>
  </conditionalFormatting>
  <conditionalFormatting sqref="P174">
    <cfRule type="cellIs" dxfId="2018" priority="132" stopIfTrue="1" operator="equal">
      <formula>"INPUT STARTER IN COLUMN D"</formula>
    </cfRule>
  </conditionalFormatting>
  <conditionalFormatting sqref="P176">
    <cfRule type="cellIs" dxfId="2017" priority="131" stopIfTrue="1" operator="equal">
      <formula>"INPUT STARTER IN COLUMN D"</formula>
    </cfRule>
  </conditionalFormatting>
  <conditionalFormatting sqref="P177">
    <cfRule type="cellIs" dxfId="2016" priority="130" stopIfTrue="1" operator="equal">
      <formula>"INPUT STARTER IN COLUMN D"</formula>
    </cfRule>
  </conditionalFormatting>
  <conditionalFormatting sqref="P178">
    <cfRule type="cellIs" dxfId="2015" priority="129" stopIfTrue="1" operator="equal">
      <formula>"INPUT STARTER IN COLUMN D"</formula>
    </cfRule>
  </conditionalFormatting>
  <conditionalFormatting sqref="P179">
    <cfRule type="cellIs" dxfId="2014" priority="128" stopIfTrue="1" operator="equal">
      <formula>"INPUT STARTER IN COLUMN D"</formula>
    </cfRule>
  </conditionalFormatting>
  <conditionalFormatting sqref="P180">
    <cfRule type="cellIs" dxfId="2013" priority="127" stopIfTrue="1" operator="equal">
      <formula>"INPUT STARTER IN COLUMN D"</formula>
    </cfRule>
  </conditionalFormatting>
  <conditionalFormatting sqref="P181">
    <cfRule type="cellIs" dxfId="2012" priority="126" stopIfTrue="1" operator="equal">
      <formula>"INPUT STARTER IN COLUMN D"</formula>
    </cfRule>
  </conditionalFormatting>
  <conditionalFormatting sqref="P182">
    <cfRule type="cellIs" dxfId="2011" priority="125" stopIfTrue="1" operator="equal">
      <formula>"INPUT STARTER IN COLUMN D"</formula>
    </cfRule>
  </conditionalFormatting>
  <conditionalFormatting sqref="P183">
    <cfRule type="cellIs" dxfId="2010" priority="124" stopIfTrue="1" operator="equal">
      <formula>"INPUT STARTER IN COLUMN D"</formula>
    </cfRule>
  </conditionalFormatting>
  <conditionalFormatting sqref="P184">
    <cfRule type="cellIs" dxfId="2009" priority="123" stopIfTrue="1" operator="equal">
      <formula>"INPUT STARTER IN COLUMN D"</formula>
    </cfRule>
  </conditionalFormatting>
  <conditionalFormatting sqref="P185">
    <cfRule type="cellIs" dxfId="2008" priority="122" stopIfTrue="1" operator="equal">
      <formula>"INPUT STARTER IN COLUMN D"</formula>
    </cfRule>
  </conditionalFormatting>
  <conditionalFormatting sqref="AK3:AK22">
    <cfRule type="cellIs" dxfId="2007" priority="121" stopIfTrue="1" operator="equal">
      <formula>"must average at least 5 innings per start"</formula>
    </cfRule>
  </conditionalFormatting>
  <conditionalFormatting sqref="AK23">
    <cfRule type="cellIs" dxfId="2006" priority="120" stopIfTrue="1" operator="equal">
      <formula>"must have 162 starts"</formula>
    </cfRule>
  </conditionalFormatting>
  <conditionalFormatting sqref="AH3:AH22">
    <cfRule type="cellIs" dxfId="2005" priority="119" stopIfTrue="1" operator="equal">
      <formula>"must average at least 5 innings per start"</formula>
    </cfRule>
  </conditionalFormatting>
  <conditionalFormatting sqref="AH23">
    <cfRule type="cellIs" dxfId="2004" priority="118" stopIfTrue="1" operator="equal">
      <formula>"must have 162 starts"</formula>
    </cfRule>
  </conditionalFormatting>
  <conditionalFormatting sqref="AG3:AG22">
    <cfRule type="cellIs" dxfId="2003" priority="117" stopIfTrue="1" operator="equal">
      <formula>"must average at least 5 innings per start"</formula>
    </cfRule>
  </conditionalFormatting>
  <conditionalFormatting sqref="AG23">
    <cfRule type="cellIs" dxfId="2002" priority="116" stopIfTrue="1" operator="equal">
      <formula>"must have 162 starts"</formula>
    </cfRule>
  </conditionalFormatting>
  <conditionalFormatting sqref="AK3:AK22">
    <cfRule type="cellIs" dxfId="2001" priority="115" stopIfTrue="1" operator="equal">
      <formula>"must average at least 5 innings per start"</formula>
    </cfRule>
  </conditionalFormatting>
  <conditionalFormatting sqref="AK23">
    <cfRule type="cellIs" dxfId="2000" priority="114" stopIfTrue="1" operator="equal">
      <formula>"must have 162 starts"</formula>
    </cfRule>
  </conditionalFormatting>
  <conditionalFormatting sqref="AH3:AH22">
    <cfRule type="cellIs" dxfId="1999" priority="113" stopIfTrue="1" operator="equal">
      <formula>"must average at least 5 innings per start"</formula>
    </cfRule>
  </conditionalFormatting>
  <conditionalFormatting sqref="AH23">
    <cfRule type="cellIs" dxfId="1998" priority="112" stopIfTrue="1" operator="equal">
      <formula>"must have 162 starts"</formula>
    </cfRule>
  </conditionalFormatting>
  <conditionalFormatting sqref="AG3:AG22">
    <cfRule type="cellIs" dxfId="1997" priority="111" stopIfTrue="1" operator="equal">
      <formula>"must average at least 5 innings per start"</formula>
    </cfRule>
  </conditionalFormatting>
  <conditionalFormatting sqref="AG23">
    <cfRule type="cellIs" dxfId="1996" priority="110" stopIfTrue="1" operator="equal">
      <formula>"must have 162 starts"</formula>
    </cfRule>
  </conditionalFormatting>
  <conditionalFormatting sqref="AK3:AK22">
    <cfRule type="cellIs" dxfId="1995" priority="109" stopIfTrue="1" operator="equal">
      <formula>"must average at least 5 innings per start"</formula>
    </cfRule>
  </conditionalFormatting>
  <conditionalFormatting sqref="AK23">
    <cfRule type="cellIs" dxfId="1994" priority="108" stopIfTrue="1" operator="equal">
      <formula>"must have 162 starts"</formula>
    </cfRule>
  </conditionalFormatting>
  <conditionalFormatting sqref="AH3:AH22">
    <cfRule type="cellIs" dxfId="1993" priority="107" stopIfTrue="1" operator="equal">
      <formula>"must average at least 5 innings per start"</formula>
    </cfRule>
  </conditionalFormatting>
  <conditionalFormatting sqref="AH23">
    <cfRule type="cellIs" dxfId="1992" priority="106" stopIfTrue="1" operator="equal">
      <formula>"must have 162 starts"</formula>
    </cfRule>
  </conditionalFormatting>
  <conditionalFormatting sqref="AG3:AG22">
    <cfRule type="cellIs" dxfId="1991" priority="105" stopIfTrue="1" operator="equal">
      <formula>"must average at least 5 innings per start"</formula>
    </cfRule>
  </conditionalFormatting>
  <conditionalFormatting sqref="AG23">
    <cfRule type="cellIs" dxfId="1990" priority="104" stopIfTrue="1" operator="equal">
      <formula>"must have 162 starts"</formula>
    </cfRule>
  </conditionalFormatting>
  <conditionalFormatting sqref="AG3:AG22">
    <cfRule type="cellIs" dxfId="1989" priority="103" stopIfTrue="1" operator="equal">
      <formula>"must average at least 5 innings per start"</formula>
    </cfRule>
  </conditionalFormatting>
  <conditionalFormatting sqref="AG23">
    <cfRule type="cellIs" dxfId="1988" priority="102" stopIfTrue="1" operator="equal">
      <formula>"must have 162 starts"</formula>
    </cfRule>
  </conditionalFormatting>
  <conditionalFormatting sqref="AK3:AK22">
    <cfRule type="cellIs" dxfId="1987" priority="101" stopIfTrue="1" operator="equal">
      <formula>"must average at least 5 innings per start"</formula>
    </cfRule>
  </conditionalFormatting>
  <conditionalFormatting sqref="AK23">
    <cfRule type="cellIs" dxfId="1986" priority="100" stopIfTrue="1" operator="equal">
      <formula>"must have 162 starts"</formula>
    </cfRule>
  </conditionalFormatting>
  <conditionalFormatting sqref="AK3:AK22">
    <cfRule type="cellIs" dxfId="1985" priority="99" stopIfTrue="1" operator="equal">
      <formula>"must average at least 5 innings per start"</formula>
    </cfRule>
  </conditionalFormatting>
  <conditionalFormatting sqref="AK23">
    <cfRule type="cellIs" dxfId="1984" priority="98" stopIfTrue="1" operator="equal">
      <formula>"must have 162 starts"</formula>
    </cfRule>
  </conditionalFormatting>
  <conditionalFormatting sqref="AK3:AK22">
    <cfRule type="cellIs" dxfId="1983" priority="97" stopIfTrue="1" operator="equal">
      <formula>"must average at least 5 innings per start"</formula>
    </cfRule>
  </conditionalFormatting>
  <conditionalFormatting sqref="AK23">
    <cfRule type="cellIs" dxfId="1982" priority="96" stopIfTrue="1" operator="equal">
      <formula>"must have 162 starts"</formula>
    </cfRule>
  </conditionalFormatting>
  <conditionalFormatting sqref="AK3:AK22">
    <cfRule type="cellIs" dxfId="1981" priority="95" stopIfTrue="1" operator="equal">
      <formula>"must average at least 5 innings per start"</formula>
    </cfRule>
  </conditionalFormatting>
  <conditionalFormatting sqref="AK23">
    <cfRule type="cellIs" dxfId="1980" priority="94" stopIfTrue="1" operator="equal">
      <formula>"must have 162 starts"</formula>
    </cfRule>
  </conditionalFormatting>
  <conditionalFormatting sqref="AK3:AK22">
    <cfRule type="cellIs" dxfId="1979" priority="93" stopIfTrue="1" operator="equal">
      <formula>"must average at least 5 innings per start"</formula>
    </cfRule>
  </conditionalFormatting>
  <conditionalFormatting sqref="AK23">
    <cfRule type="cellIs" dxfId="1978" priority="92" stopIfTrue="1" operator="equal">
      <formula>"must have 162 starts"</formula>
    </cfRule>
  </conditionalFormatting>
  <conditionalFormatting sqref="AK3:AK22">
    <cfRule type="cellIs" dxfId="1977" priority="91" stopIfTrue="1" operator="equal">
      <formula>"must average at least 5 innings per start"</formula>
    </cfRule>
  </conditionalFormatting>
  <conditionalFormatting sqref="AK23">
    <cfRule type="cellIs" dxfId="1976" priority="90" stopIfTrue="1" operator="equal">
      <formula>"must have 162 starts"</formula>
    </cfRule>
  </conditionalFormatting>
  <conditionalFormatting sqref="AK3:AK22">
    <cfRule type="cellIs" dxfId="1975" priority="89" stopIfTrue="1" operator="equal">
      <formula>"must average at least 5 innings per start"</formula>
    </cfRule>
  </conditionalFormatting>
  <conditionalFormatting sqref="AK23">
    <cfRule type="cellIs" dxfId="1974" priority="88" stopIfTrue="1" operator="equal">
      <formula>"must have 162 starts"</formula>
    </cfRule>
  </conditionalFormatting>
  <conditionalFormatting sqref="AH3:AH22">
    <cfRule type="cellIs" dxfId="1973" priority="87" stopIfTrue="1" operator="equal">
      <formula>"must average at least 5 innings per start"</formula>
    </cfRule>
  </conditionalFormatting>
  <conditionalFormatting sqref="AH23">
    <cfRule type="cellIs" dxfId="1972" priority="86" stopIfTrue="1" operator="equal">
      <formula>"must have 162 starts"</formula>
    </cfRule>
  </conditionalFormatting>
  <conditionalFormatting sqref="AG3:AG22">
    <cfRule type="cellIs" dxfId="1971" priority="85" stopIfTrue="1" operator="equal">
      <formula>"must average at least 5 innings per start"</formula>
    </cfRule>
  </conditionalFormatting>
  <conditionalFormatting sqref="AG23">
    <cfRule type="cellIs" dxfId="1970" priority="84" stopIfTrue="1" operator="equal">
      <formula>"must have 162 starts"</formula>
    </cfRule>
  </conditionalFormatting>
  <conditionalFormatting sqref="AK3:AK22">
    <cfRule type="cellIs" dxfId="1969" priority="83" stopIfTrue="1" operator="equal">
      <formula>"must average at least 5 innings per start"</formula>
    </cfRule>
  </conditionalFormatting>
  <conditionalFormatting sqref="AK23">
    <cfRule type="cellIs" dxfId="1968" priority="82" stopIfTrue="1" operator="equal">
      <formula>"must have 162 starts"</formula>
    </cfRule>
  </conditionalFormatting>
  <conditionalFormatting sqref="AK3:AK22">
    <cfRule type="cellIs" dxfId="1967" priority="81" stopIfTrue="1" operator="equal">
      <formula>"must average at least 5 innings per start"</formula>
    </cfRule>
  </conditionalFormatting>
  <conditionalFormatting sqref="AK23">
    <cfRule type="cellIs" dxfId="1966" priority="80" stopIfTrue="1" operator="equal">
      <formula>"must have 162 starts"</formula>
    </cfRule>
  </conditionalFormatting>
  <conditionalFormatting sqref="AK3:AK22">
    <cfRule type="cellIs" dxfId="1965" priority="79" stopIfTrue="1" operator="equal">
      <formula>"must average at least 5 innings per start"</formula>
    </cfRule>
  </conditionalFormatting>
  <conditionalFormatting sqref="AK23">
    <cfRule type="cellIs" dxfId="1964" priority="78" stopIfTrue="1" operator="equal">
      <formula>"must have 162 starts"</formula>
    </cfRule>
  </conditionalFormatting>
  <conditionalFormatting sqref="AK3:AK22">
    <cfRule type="cellIs" dxfId="1963" priority="77" stopIfTrue="1" operator="equal">
      <formula>"must average at least 5 innings per start"</formula>
    </cfRule>
  </conditionalFormatting>
  <conditionalFormatting sqref="AK23">
    <cfRule type="cellIs" dxfId="1962" priority="76" stopIfTrue="1" operator="equal">
      <formula>"must have 162 starts"</formula>
    </cfRule>
  </conditionalFormatting>
  <conditionalFormatting sqref="AK3:AK22">
    <cfRule type="cellIs" dxfId="1961" priority="75" stopIfTrue="1" operator="equal">
      <formula>"must average at least 5 innings per start"</formula>
    </cfRule>
  </conditionalFormatting>
  <conditionalFormatting sqref="AK23">
    <cfRule type="cellIs" dxfId="1960" priority="74" stopIfTrue="1" operator="equal">
      <formula>"must have 162 starts"</formula>
    </cfRule>
  </conditionalFormatting>
  <conditionalFormatting sqref="AK3:AK22">
    <cfRule type="cellIs" dxfId="1959" priority="73" stopIfTrue="1" operator="equal">
      <formula>"must average at least 5 innings per start"</formula>
    </cfRule>
  </conditionalFormatting>
  <conditionalFormatting sqref="AK23">
    <cfRule type="cellIs" dxfId="1958" priority="72" stopIfTrue="1" operator="equal">
      <formula>"must have 162 starts"</formula>
    </cfRule>
  </conditionalFormatting>
  <conditionalFormatting sqref="AK3:AK22">
    <cfRule type="cellIs" dxfId="1957" priority="71" stopIfTrue="1" operator="equal">
      <formula>"must average at least 5 innings per start"</formula>
    </cfRule>
  </conditionalFormatting>
  <conditionalFormatting sqref="AK23">
    <cfRule type="cellIs" dxfId="1956" priority="70" stopIfTrue="1" operator="equal">
      <formula>"must have 162 starts"</formula>
    </cfRule>
  </conditionalFormatting>
  <conditionalFormatting sqref="AK3:AK22">
    <cfRule type="cellIs" dxfId="1955" priority="69" stopIfTrue="1" operator="equal">
      <formula>"must average at least 5 innings per start"</formula>
    </cfRule>
  </conditionalFormatting>
  <conditionalFormatting sqref="AK23">
    <cfRule type="cellIs" dxfId="1954" priority="68" stopIfTrue="1" operator="equal">
      <formula>"must have 162 starts"</formula>
    </cfRule>
  </conditionalFormatting>
  <conditionalFormatting sqref="AG3:AG22">
    <cfRule type="cellIs" dxfId="1953" priority="67" stopIfTrue="1" operator="equal">
      <formula>"must average at least 5 innings per start"</formula>
    </cfRule>
  </conditionalFormatting>
  <conditionalFormatting sqref="AG23">
    <cfRule type="cellIs" dxfId="1952" priority="66" stopIfTrue="1" operator="equal">
      <formula>"must have 162 starts"</formula>
    </cfRule>
  </conditionalFormatting>
  <conditionalFormatting sqref="AK3:AK22">
    <cfRule type="cellIs" dxfId="1951" priority="65" stopIfTrue="1" operator="equal">
      <formula>"must average at least 5 innings per start"</formula>
    </cfRule>
  </conditionalFormatting>
  <conditionalFormatting sqref="AK23">
    <cfRule type="cellIs" dxfId="1950" priority="64" stopIfTrue="1" operator="equal">
      <formula>"must have 162 starts"</formula>
    </cfRule>
  </conditionalFormatting>
  <conditionalFormatting sqref="AK3:AK22">
    <cfRule type="cellIs" dxfId="1949" priority="63" stopIfTrue="1" operator="equal">
      <formula>"must average at least 5 innings per start"</formula>
    </cfRule>
  </conditionalFormatting>
  <conditionalFormatting sqref="AK23">
    <cfRule type="cellIs" dxfId="1948" priority="62" stopIfTrue="1" operator="equal">
      <formula>"must have 162 starts"</formula>
    </cfRule>
  </conditionalFormatting>
  <conditionalFormatting sqref="AK3:AK22">
    <cfRule type="cellIs" dxfId="1947" priority="61" stopIfTrue="1" operator="equal">
      <formula>"must average at least 5 innings per start"</formula>
    </cfRule>
  </conditionalFormatting>
  <conditionalFormatting sqref="AK23">
    <cfRule type="cellIs" dxfId="1946" priority="60" stopIfTrue="1" operator="equal">
      <formula>"must have 162 starts"</formula>
    </cfRule>
  </conditionalFormatting>
  <conditionalFormatting sqref="AK3:AK22">
    <cfRule type="cellIs" dxfId="1945" priority="59" stopIfTrue="1" operator="equal">
      <formula>"must average at least 5 innings per start"</formula>
    </cfRule>
  </conditionalFormatting>
  <conditionalFormatting sqref="AK23">
    <cfRule type="cellIs" dxfId="1944" priority="58" stopIfTrue="1" operator="equal">
      <formula>"must have 162 starts"</formula>
    </cfRule>
  </conditionalFormatting>
  <conditionalFormatting sqref="AK3:AK22">
    <cfRule type="cellIs" dxfId="1943" priority="57" stopIfTrue="1" operator="equal">
      <formula>"must average at least 5 innings per start"</formula>
    </cfRule>
  </conditionalFormatting>
  <conditionalFormatting sqref="AK23">
    <cfRule type="cellIs" dxfId="1942" priority="56" stopIfTrue="1" operator="equal">
      <formula>"must have 162 starts"</formula>
    </cfRule>
  </conditionalFormatting>
  <conditionalFormatting sqref="AK3:AK22">
    <cfRule type="cellIs" dxfId="1941" priority="55" stopIfTrue="1" operator="equal">
      <formula>"must average at least 5 innings per start"</formula>
    </cfRule>
  </conditionalFormatting>
  <conditionalFormatting sqref="AK23">
    <cfRule type="cellIs" dxfId="1940" priority="54" stopIfTrue="1" operator="equal">
      <formula>"must have 162 starts"</formula>
    </cfRule>
  </conditionalFormatting>
  <conditionalFormatting sqref="AK3:AK22">
    <cfRule type="cellIs" dxfId="1939" priority="53" stopIfTrue="1" operator="equal">
      <formula>"must average at least 5 innings per start"</formula>
    </cfRule>
  </conditionalFormatting>
  <conditionalFormatting sqref="AK23">
    <cfRule type="cellIs" dxfId="1938" priority="52" stopIfTrue="1" operator="equal">
      <formula>"must have 162 starts"</formula>
    </cfRule>
  </conditionalFormatting>
  <conditionalFormatting sqref="AG3:AG22">
    <cfRule type="cellIs" dxfId="1937" priority="51" stopIfTrue="1" operator="equal">
      <formula>"must average at least 5 innings per start"</formula>
    </cfRule>
  </conditionalFormatting>
  <conditionalFormatting sqref="AG23">
    <cfRule type="cellIs" dxfId="1936" priority="50" stopIfTrue="1" operator="equal">
      <formula>"must have 162 starts"</formula>
    </cfRule>
  </conditionalFormatting>
  <conditionalFormatting sqref="AK3:AK22">
    <cfRule type="cellIs" dxfId="1935" priority="49" stopIfTrue="1" operator="equal">
      <formula>"must average at least 5 innings per start"</formula>
    </cfRule>
  </conditionalFormatting>
  <conditionalFormatting sqref="AK23">
    <cfRule type="cellIs" dxfId="1934" priority="48" stopIfTrue="1" operator="equal">
      <formula>"must have 162 starts"</formula>
    </cfRule>
  </conditionalFormatting>
  <conditionalFormatting sqref="AK3:AK22">
    <cfRule type="cellIs" dxfId="1933" priority="47" stopIfTrue="1" operator="equal">
      <formula>"must average at least 5 innings per start"</formula>
    </cfRule>
  </conditionalFormatting>
  <conditionalFormatting sqref="AK23">
    <cfRule type="cellIs" dxfId="1932" priority="46" stopIfTrue="1" operator="equal">
      <formula>"must have 162 starts"</formula>
    </cfRule>
  </conditionalFormatting>
  <conditionalFormatting sqref="AK3:AK22">
    <cfRule type="cellIs" dxfId="1931" priority="45" stopIfTrue="1" operator="equal">
      <formula>"must average at least 5 innings per start"</formula>
    </cfRule>
  </conditionalFormatting>
  <conditionalFormatting sqref="AK23">
    <cfRule type="cellIs" dxfId="1930" priority="44" stopIfTrue="1" operator="equal">
      <formula>"must have 162 starts"</formula>
    </cfRule>
  </conditionalFormatting>
  <conditionalFormatting sqref="AK3:AK22">
    <cfRule type="cellIs" dxfId="1929" priority="43" stopIfTrue="1" operator="equal">
      <formula>"must average at least 5 innings per start"</formula>
    </cfRule>
  </conditionalFormatting>
  <conditionalFormatting sqref="AK23">
    <cfRule type="cellIs" dxfId="1928" priority="42" stopIfTrue="1" operator="equal">
      <formula>"must have 162 starts"</formula>
    </cfRule>
  </conditionalFormatting>
  <conditionalFormatting sqref="AK3:AK22">
    <cfRule type="cellIs" dxfId="1927" priority="41" stopIfTrue="1" operator="equal">
      <formula>"must average at least 5 innings per start"</formula>
    </cfRule>
  </conditionalFormatting>
  <conditionalFormatting sqref="AK23">
    <cfRule type="cellIs" dxfId="1926" priority="40" stopIfTrue="1" operator="equal">
      <formula>"must have 162 starts"</formula>
    </cfRule>
  </conditionalFormatting>
  <conditionalFormatting sqref="AK3:AK22">
    <cfRule type="cellIs" dxfId="1925" priority="39" stopIfTrue="1" operator="equal">
      <formula>"must average at least 5 innings per start"</formula>
    </cfRule>
  </conditionalFormatting>
  <conditionalFormatting sqref="AK23">
    <cfRule type="cellIs" dxfId="1924" priority="38" stopIfTrue="1" operator="equal">
      <formula>"must have 162 starts"</formula>
    </cfRule>
  </conditionalFormatting>
  <conditionalFormatting sqref="AG3:AG22">
    <cfRule type="cellIs" dxfId="1923" priority="37" stopIfTrue="1" operator="equal">
      <formula>"must average at least 5 innings per start"</formula>
    </cfRule>
  </conditionalFormatting>
  <conditionalFormatting sqref="AG23">
    <cfRule type="cellIs" dxfId="1922" priority="36" stopIfTrue="1" operator="equal">
      <formula>"must have 162 starts"</formula>
    </cfRule>
  </conditionalFormatting>
  <conditionalFormatting sqref="AK3:AK22">
    <cfRule type="cellIs" dxfId="1921" priority="35" stopIfTrue="1" operator="equal">
      <formula>"must average at least 5 innings per start"</formula>
    </cfRule>
  </conditionalFormatting>
  <conditionalFormatting sqref="AK23">
    <cfRule type="cellIs" dxfId="1920" priority="34" stopIfTrue="1" operator="equal">
      <formula>"must have 162 starts"</formula>
    </cfRule>
  </conditionalFormatting>
  <conditionalFormatting sqref="AK3:AK22">
    <cfRule type="cellIs" dxfId="1919" priority="33" stopIfTrue="1" operator="equal">
      <formula>"must average at least 5 innings per start"</formula>
    </cfRule>
  </conditionalFormatting>
  <conditionalFormatting sqref="AK23">
    <cfRule type="cellIs" dxfId="1918" priority="32" stopIfTrue="1" operator="equal">
      <formula>"must have 162 starts"</formula>
    </cfRule>
  </conditionalFormatting>
  <conditionalFormatting sqref="AK3:AK22">
    <cfRule type="cellIs" dxfId="1917" priority="31" stopIfTrue="1" operator="equal">
      <formula>"must average at least 5 innings per start"</formula>
    </cfRule>
  </conditionalFormatting>
  <conditionalFormatting sqref="AK23">
    <cfRule type="cellIs" dxfId="1916" priority="30" stopIfTrue="1" operator="equal">
      <formula>"must have 162 starts"</formula>
    </cfRule>
  </conditionalFormatting>
  <conditionalFormatting sqref="AK3:AK22">
    <cfRule type="cellIs" dxfId="1915" priority="29" stopIfTrue="1" operator="equal">
      <formula>"must average at least 5 innings per start"</formula>
    </cfRule>
  </conditionalFormatting>
  <conditionalFormatting sqref="AK23">
    <cfRule type="cellIs" dxfId="1914" priority="28" stopIfTrue="1" operator="equal">
      <formula>"must have 162 starts"</formula>
    </cfRule>
  </conditionalFormatting>
  <conditionalFormatting sqref="AK3:AK22">
    <cfRule type="cellIs" dxfId="1913" priority="27" stopIfTrue="1" operator="equal">
      <formula>"must average at least 5 innings per start"</formula>
    </cfRule>
  </conditionalFormatting>
  <conditionalFormatting sqref="AK23">
    <cfRule type="cellIs" dxfId="1912" priority="26" stopIfTrue="1" operator="equal">
      <formula>"must have 162 starts"</formula>
    </cfRule>
  </conditionalFormatting>
  <conditionalFormatting sqref="AG3:AG22">
    <cfRule type="cellIs" dxfId="1911" priority="25" stopIfTrue="1" operator="equal">
      <formula>"must average at least 5 innings per start"</formula>
    </cfRule>
  </conditionalFormatting>
  <conditionalFormatting sqref="AG23">
    <cfRule type="cellIs" dxfId="1910" priority="24" stopIfTrue="1" operator="equal">
      <formula>"must have 162 starts"</formula>
    </cfRule>
  </conditionalFormatting>
  <conditionalFormatting sqref="AK3:AK22">
    <cfRule type="cellIs" dxfId="1909" priority="23" stopIfTrue="1" operator="equal">
      <formula>"must average at least 5 innings per start"</formula>
    </cfRule>
  </conditionalFormatting>
  <conditionalFormatting sqref="AK23">
    <cfRule type="cellIs" dxfId="1908" priority="22" stopIfTrue="1" operator="equal">
      <formula>"must have 162 starts"</formula>
    </cfRule>
  </conditionalFormatting>
  <conditionalFormatting sqref="AK3:AK22">
    <cfRule type="cellIs" dxfId="1907" priority="21" stopIfTrue="1" operator="equal">
      <formula>"must average at least 5 innings per start"</formula>
    </cfRule>
  </conditionalFormatting>
  <conditionalFormatting sqref="AK23">
    <cfRule type="cellIs" dxfId="1906" priority="20" stopIfTrue="1" operator="equal">
      <formula>"must have 162 starts"</formula>
    </cfRule>
  </conditionalFormatting>
  <conditionalFormatting sqref="AK3:AK22">
    <cfRule type="cellIs" dxfId="1905" priority="19" stopIfTrue="1" operator="equal">
      <formula>"must average at least 5 innings per start"</formula>
    </cfRule>
  </conditionalFormatting>
  <conditionalFormatting sqref="AK23">
    <cfRule type="cellIs" dxfId="1904" priority="18" stopIfTrue="1" operator="equal">
      <formula>"must have 162 starts"</formula>
    </cfRule>
  </conditionalFormatting>
  <conditionalFormatting sqref="AK3:AK22">
    <cfRule type="cellIs" dxfId="1903" priority="17" stopIfTrue="1" operator="equal">
      <formula>"must average at least 5 innings per start"</formula>
    </cfRule>
  </conditionalFormatting>
  <conditionalFormatting sqref="AK23">
    <cfRule type="cellIs" dxfId="1902" priority="16" stopIfTrue="1" operator="equal">
      <formula>"must have 162 starts"</formula>
    </cfRule>
  </conditionalFormatting>
  <conditionalFormatting sqref="AG3:AG22">
    <cfRule type="cellIs" dxfId="1901" priority="15" stopIfTrue="1" operator="equal">
      <formula>"must average at least 5 innings per start"</formula>
    </cfRule>
  </conditionalFormatting>
  <conditionalFormatting sqref="AG23">
    <cfRule type="cellIs" dxfId="1900" priority="14" stopIfTrue="1" operator="equal">
      <formula>"must have 162 starts"</formula>
    </cfRule>
  </conditionalFormatting>
  <conditionalFormatting sqref="AK3:AK22">
    <cfRule type="cellIs" dxfId="1899" priority="13" stopIfTrue="1" operator="equal">
      <formula>"must average at least 5 innings per start"</formula>
    </cfRule>
  </conditionalFormatting>
  <conditionalFormatting sqref="AK23">
    <cfRule type="cellIs" dxfId="1898" priority="12" stopIfTrue="1" operator="equal">
      <formula>"must have 162 starts"</formula>
    </cfRule>
  </conditionalFormatting>
  <conditionalFormatting sqref="AK3:AK22">
    <cfRule type="cellIs" dxfId="1897" priority="11" stopIfTrue="1" operator="equal">
      <formula>"must average at least 5 innings per start"</formula>
    </cfRule>
  </conditionalFormatting>
  <conditionalFormatting sqref="AK23">
    <cfRule type="cellIs" dxfId="1896" priority="10" stopIfTrue="1" operator="equal">
      <formula>"must have 162 starts"</formula>
    </cfRule>
  </conditionalFormatting>
  <conditionalFormatting sqref="AK3:AK22">
    <cfRule type="cellIs" dxfId="1895" priority="9" stopIfTrue="1" operator="equal">
      <formula>"must average at least 5 innings per start"</formula>
    </cfRule>
  </conditionalFormatting>
  <conditionalFormatting sqref="AK23">
    <cfRule type="cellIs" dxfId="1894" priority="8" stopIfTrue="1" operator="equal">
      <formula>"must have 162 starts"</formula>
    </cfRule>
  </conditionalFormatting>
  <conditionalFormatting sqref="AG3:AG22">
    <cfRule type="cellIs" dxfId="1893" priority="7" stopIfTrue="1" operator="equal">
      <formula>"must average at least 5 innings per start"</formula>
    </cfRule>
  </conditionalFormatting>
  <conditionalFormatting sqref="AG23">
    <cfRule type="cellIs" dxfId="1892" priority="6" stopIfTrue="1" operator="equal">
      <formula>"must have 162 starts"</formula>
    </cfRule>
  </conditionalFormatting>
  <conditionalFormatting sqref="AK3:AK22">
    <cfRule type="cellIs" dxfId="1891" priority="5" stopIfTrue="1" operator="equal">
      <formula>"must average at least 5 innings per start"</formula>
    </cfRule>
  </conditionalFormatting>
  <conditionalFormatting sqref="AK23">
    <cfRule type="cellIs" dxfId="1890" priority="4" stopIfTrue="1" operator="equal">
      <formula>"must have 162 starts"</formula>
    </cfRule>
  </conditionalFormatting>
  <conditionalFormatting sqref="AG3:AG22">
    <cfRule type="cellIs" dxfId="1889" priority="3" stopIfTrue="1" operator="equal">
      <formula>"must average at least 5 innings per start"</formula>
    </cfRule>
  </conditionalFormatting>
  <conditionalFormatting sqref="AG23">
    <cfRule type="cellIs" dxfId="1888" priority="2" stopIfTrue="1" operator="equal">
      <formula>"must have 162 starts"</formula>
    </cfRule>
  </conditionalFormatting>
  <conditionalFormatting sqref="Q2">
    <cfRule type="cellIs" dxfId="1887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13701" divId="ROTcheck_13701" sourceType="sheet" destinationFile="C:\1kading\schedule\skedarl.html"/>
    <webPublishItem id="31215" divId="ROTcheck_31215" sourceType="range" sourceRef="A1:O193" destinationFile="C:\1kading\schedule\skedlol.html"/>
    <webPublishItem id="14299" divId="ROTcheck_14299" sourceType="range" sourceRef="A156:O194" destinationFile="C:\1kading\schedule\skedarl.html"/>
  </webPublishItems>
</worksheet>
</file>

<file path=xl/worksheets/sheet25.xml><?xml version="1.0" encoding="utf-8"?>
<worksheet xmlns="http://schemas.openxmlformats.org/spreadsheetml/2006/main" xmlns:r="http://schemas.openxmlformats.org/officeDocument/2006/relationships">
  <dimension ref="A1:AJ225"/>
  <sheetViews>
    <sheetView zoomScale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3.42578125" style="4" customWidth="1"/>
    <col min="5" max="5" width="4.28515625" style="2" customWidth="1"/>
    <col min="6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22.140625" style="2" customWidth="1"/>
    <col min="20" max="20" width="6.42578125" style="2" customWidth="1"/>
    <col min="21" max="21" width="3.7109375" style="2" customWidth="1"/>
    <col min="22" max="22" width="4" style="2" customWidth="1"/>
    <col min="23" max="23" width="6.7109375" style="2" customWidth="1"/>
    <col min="24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8554687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1917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 t="s">
        <v>32</v>
      </c>
      <c r="C3" s="33" t="s">
        <v>33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600</v>
      </c>
      <c r="T3" s="44" t="str">
        <f>IF(ISERROR((VLOOKUP(S3,Pitchers!$B$1:H$800,4,FALSE))),"",(VLOOKUP(S3,Pitchers!$B$1:H$800,4,FALSE)))</f>
        <v>SDP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14</v>
      </c>
      <c r="X3" s="47">
        <f>IF(ISERROR((VLOOKUP(S3,Pitchers!B$2:AA$795,11,FALSE))),"",(VLOOKUP(S3,Pitchers!B$2:AA$795,11,FALSE)))</f>
        <v>196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>W</v>
      </c>
      <c r="AD3" s="53" t="str">
        <f>IF(ISERROR((VLOOKUP(S3,Pitchers!B$2:AA$795,18,FALSE))),"",(VLOOKUP(S3,Pitchers!B$2:AA$795,18,FALSE)))</f>
        <v>G</v>
      </c>
      <c r="AE3" s="11">
        <f t="shared" ref="AE3:AE21" si="0">COUNTIF(D:D,S3)</f>
        <v>0</v>
      </c>
      <c r="AF3" s="12" t="str">
        <f t="shared" ref="AF3:AF21" si="1">IF(AE3&gt;0,X3/AE3,"")</f>
        <v/>
      </c>
      <c r="AG3" s="2" t="str">
        <f t="shared" ref="AG3:AG21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RCR</v>
      </c>
    </row>
    <row r="4" spans="1:36" ht="12.75">
      <c r="A4" s="6">
        <v>4.0199999999999996</v>
      </c>
      <c r="B4" s="33" t="s">
        <v>32</v>
      </c>
      <c r="C4" s="33" t="s">
        <v>33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1222</v>
      </c>
      <c r="T4" s="44" t="str">
        <f>IF(ISERROR((VLOOKUP(S4,Pitchers!$B$1:H$800,4,FALSE))),"",(VLOOKUP(S4,Pitchers!$B$1:H$800,4,FALSE)))</f>
        <v>KCR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13</v>
      </c>
      <c r="X4" s="47">
        <f>IF(ISERROR((VLOOKUP(S4,Pitchers!B$2:AA$795,11,FALSE))),"",(VLOOKUP(S4,Pitchers!B$2:AA$795,11,FALSE)))</f>
        <v>99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 xml:space="preserve"> 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RCR</v>
      </c>
    </row>
    <row r="5" spans="1:36" ht="12.75">
      <c r="A5" s="6">
        <v>4.03</v>
      </c>
      <c r="B5" s="33" t="s">
        <v>32</v>
      </c>
      <c r="C5" s="33" t="s">
        <v>33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461</v>
      </c>
      <c r="T5" s="44" t="str">
        <f>IF(ISERROR((VLOOKUP(S5,Pitchers!$B$1:H$800,4,FALSE))),"",(VLOOKUP(S5,Pitchers!$B$1:H$800,4,FALSE)))</f>
        <v>PIT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12</v>
      </c>
      <c r="X5" s="47">
        <f>IF(ISERROR((VLOOKUP(S5,Pitchers!B$2:AA$795,11,FALSE))),"",(VLOOKUP(S5,Pitchers!B$2:AA$795,11,FALSE)))</f>
        <v>187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X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RCR</v>
      </c>
    </row>
    <row r="6" spans="1:36" ht="12.75">
      <c r="A6" s="6">
        <v>4.04</v>
      </c>
      <c r="B6" s="33" t="s">
        <v>32</v>
      </c>
      <c r="C6" s="33" t="s">
        <v>33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621</v>
      </c>
      <c r="T6" s="44" t="str">
        <f>IF(ISERROR((VLOOKUP(S6,Pitchers!$B$1:H$800,4,FALSE))),"",(VLOOKUP(S6,Pitchers!$B$1:H$800,4,FALSE)))</f>
        <v>LAA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11</v>
      </c>
      <c r="X6" s="47">
        <f>IF(ISERROR((VLOOKUP(S6,Pitchers!B$2:AA$795,11,FALSE))),"",(VLOOKUP(S6,Pitchers!B$2:AA$795,11,FALSE)))</f>
        <v>177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>L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RCR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58</v>
      </c>
      <c r="T7" s="44" t="str">
        <f>IF(ISERROR((VLOOKUP(S7,Pitchers!$B$1:H$800,4,FALSE))),"",(VLOOKUP(S7,Pitchers!$B$1:H$800,4,FALSE)))</f>
        <v>SEA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10</v>
      </c>
      <c r="X7" s="47">
        <f>IF(ISERROR((VLOOKUP(S7,Pitchers!B$2:AA$795,11,FALSE))),"",(VLOOKUP(S7,Pitchers!B$2:AA$795,11,FALSE)))</f>
        <v>130</v>
      </c>
      <c r="Y7" s="48"/>
      <c r="Z7" s="49"/>
      <c r="AA7" s="50"/>
      <c r="AB7" s="51" t="str">
        <f>IF(ISERROR((VLOOKUP(S7,Pitchers!B$2:AA$795,16,FALSE))),"",(VLOOKUP(S7,Pitchers!B$2:AA$795,16,FALSE)))</f>
        <v>Y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1918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1901</v>
      </c>
      <c r="T8" s="44" t="str">
        <f>IF(ISERROR((VLOOKUP(S8,Pitchers!$B$1:H$800,4,FALSE))),"",(VLOOKUP(S8,Pitchers!$B$1:H$800,4,FALSE)))</f>
        <v>BAL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9</v>
      </c>
      <c r="X8" s="47">
        <f>IF(ISERROR((VLOOKUP(S8,Pitchers!B$2:AA$795,11,FALSE))),"",(VLOOKUP(S8,Pitchers!B$2:AA$795,11,FALSE)))</f>
        <v>25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>H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RCR</v>
      </c>
    </row>
    <row r="9" spans="1:36" ht="12.75">
      <c r="A9" s="6">
        <v>4.07</v>
      </c>
      <c r="B9" s="33"/>
      <c r="C9" s="33" t="s">
        <v>1918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1282</v>
      </c>
      <c r="T9" s="44" t="str">
        <f>IF(ISERROR((VLOOKUP(S9,Pitchers!$B$1:H$800,4,FALSE))),"",(VLOOKUP(S9,Pitchers!$B$1:H$800,4,FALSE)))</f>
        <v>OAK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8</v>
      </c>
      <c r="X9" s="47">
        <f>IF(ISERROR((VLOOKUP(S9,Pitchers!B$2:AA$795,11,FALSE))),"",(VLOOKUP(S9,Pitchers!B$2:AA$795,11,FALSE)))</f>
        <v>76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G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RCR</v>
      </c>
    </row>
    <row r="10" spans="1:36" ht="12.75">
      <c r="A10" s="6">
        <v>4.08</v>
      </c>
      <c r="B10" s="33"/>
      <c r="C10" s="33" t="s">
        <v>1918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320</v>
      </c>
      <c r="T10" s="44" t="str">
        <f>IF(ISERROR((VLOOKUP(S10,Pitchers!$B$1:H$800,4,FALSE))),"",(VLOOKUP(S10,Pitchers!$B$1:H$800,4,FALSE)))</f>
        <v>MIL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3</v>
      </c>
      <c r="X10" s="47">
        <f>IF(ISERROR((VLOOKUP(S10,Pitchers!B$2:AA$795,11,FALSE))),"",(VLOOKUP(S10,Pitchers!B$2:AA$795,11,FALSE)))</f>
        <v>144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>L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RCR</v>
      </c>
    </row>
    <row r="11" spans="1:36" ht="12.75">
      <c r="A11" s="6">
        <v>4.09</v>
      </c>
      <c r="B11" s="33"/>
      <c r="C11" s="33" t="s">
        <v>1918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43"/>
      <c r="T11" s="44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RCR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20"/>
      <c r="T12" s="44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34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4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RCR</v>
      </c>
    </row>
    <row r="14" spans="1:36" ht="12.75">
      <c r="A14" s="6">
        <v>4.12</v>
      </c>
      <c r="B14" s="33"/>
      <c r="C14" s="33" t="s">
        <v>34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4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RCR</v>
      </c>
    </row>
    <row r="15" spans="1:36" ht="12.75">
      <c r="A15" s="6">
        <v>4.13</v>
      </c>
      <c r="B15" s="33"/>
      <c r="C15" s="33" t="s">
        <v>34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4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RCR</v>
      </c>
    </row>
    <row r="16" spans="1:36" ht="12.75">
      <c r="A16" s="6">
        <v>4.1399999999999997</v>
      </c>
      <c r="B16" s="33"/>
      <c r="C16" s="33" t="s">
        <v>34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4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RCR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4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45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4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RCR</v>
      </c>
    </row>
    <row r="19" spans="1:36" ht="12.75">
      <c r="A19" s="6">
        <v>4.17</v>
      </c>
      <c r="B19" s="33"/>
      <c r="C19" s="33" t="s">
        <v>45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4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RCR</v>
      </c>
    </row>
    <row r="20" spans="1:36" ht="12.75">
      <c r="A20" s="6">
        <v>4.18</v>
      </c>
      <c r="B20" s="33"/>
      <c r="C20" s="33" t="s">
        <v>45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4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RCR</v>
      </c>
    </row>
    <row r="21" spans="1:36" ht="12.75">
      <c r="A21" s="6">
        <v>4.1900000000000004</v>
      </c>
      <c r="B21" s="33"/>
      <c r="C21" s="33" t="s">
        <v>45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4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RCR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ref="AE22" si="11">COUNTIF(D:D,S22)</f>
        <v>0</v>
      </c>
      <c r="AF22" s="12" t="str">
        <f t="shared" ref="AF22" si="12">IF(AE22&gt;0,X22/AE22,"")</f>
        <v/>
      </c>
      <c r="AG22" s="2" t="str">
        <f t="shared" ref="AG22" si="13">IF(AE22&gt;0,IF(AF22&lt;5,"must average at least 5 innings per start",""),"")</f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1919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RCR</v>
      </c>
    </row>
    <row r="24" spans="1:36" ht="12.75">
      <c r="A24" s="6">
        <v>4.22</v>
      </c>
      <c r="B24" s="33"/>
      <c r="C24" s="33" t="s">
        <v>1919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RCR</v>
      </c>
    </row>
    <row r="25" spans="1:36" ht="12.75">
      <c r="A25" s="6">
        <v>4.2300000000000004</v>
      </c>
      <c r="B25" s="33"/>
      <c r="C25" s="33" t="s">
        <v>1919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RCR</v>
      </c>
    </row>
    <row r="26" spans="1:36" ht="12.75">
      <c r="A26" s="6">
        <v>4.24</v>
      </c>
      <c r="B26" s="33"/>
      <c r="C26" s="33" t="s">
        <v>1919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RCR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/>
      <c r="C28" s="33" t="s">
        <v>47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RCR</v>
      </c>
    </row>
    <row r="29" spans="1:36" ht="12.75">
      <c r="A29" s="6">
        <v>4.2699999999999996</v>
      </c>
      <c r="B29" s="33"/>
      <c r="C29" s="33" t="s">
        <v>47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RCR</v>
      </c>
    </row>
    <row r="30" spans="1:36" ht="12.75">
      <c r="A30" s="6">
        <v>4.28</v>
      </c>
      <c r="B30" s="33"/>
      <c r="C30" s="33" t="s">
        <v>47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RCR</v>
      </c>
    </row>
    <row r="31" spans="1:36" ht="12.75">
      <c r="A31" s="6">
        <v>4.29</v>
      </c>
      <c r="B31" s="33"/>
      <c r="C31" s="33" t="s">
        <v>47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RCR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/>
      <c r="C33" s="33" t="s">
        <v>14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4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5">IF(P33="not enough rest","input a DIFFERENT starter in column C","")</f>
        <v/>
      </c>
      <c r="R33" s="10">
        <v>1</v>
      </c>
      <c r="AJ33" s="33" t="str">
        <f t="shared" ca="1" si="3"/>
        <v>RCR</v>
      </c>
    </row>
    <row r="34" spans="1:36" ht="12.75">
      <c r="A34" s="6">
        <v>5.0199999999999996</v>
      </c>
      <c r="B34" s="33"/>
      <c r="C34" s="33" t="s">
        <v>14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4"/>
        <v>input starter in column D</v>
      </c>
      <c r="Q34" s="5" t="str">
        <f t="shared" si="15"/>
        <v/>
      </c>
      <c r="R34" s="10">
        <v>2</v>
      </c>
      <c r="AJ34" s="33" t="str">
        <f t="shared" ca="1" si="3"/>
        <v>RCR</v>
      </c>
    </row>
    <row r="35" spans="1:36" ht="12.75">
      <c r="A35" s="6">
        <v>5.03</v>
      </c>
      <c r="B35" s="33"/>
      <c r="C35" s="33" t="s">
        <v>14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4"/>
        <v>input starter in column D</v>
      </c>
      <c r="Q35" s="5" t="str">
        <f t="shared" si="15"/>
        <v/>
      </c>
      <c r="R35" s="10">
        <v>3</v>
      </c>
      <c r="AJ35" s="33" t="str">
        <f t="shared" ca="1" si="3"/>
        <v>RCR</v>
      </c>
    </row>
    <row r="36" spans="1:36" ht="12.75">
      <c r="A36" s="6">
        <v>5.04</v>
      </c>
      <c r="B36" s="33"/>
      <c r="C36" s="33" t="s">
        <v>14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4"/>
        <v>input starter in column D</v>
      </c>
      <c r="Q36" s="5" t="str">
        <f t="shared" si="15"/>
        <v/>
      </c>
      <c r="R36" s="10">
        <v>4</v>
      </c>
      <c r="AJ36" s="33" t="str">
        <f t="shared" ca="1" si="3"/>
        <v>RCR</v>
      </c>
    </row>
    <row r="37" spans="1:36" ht="12.75">
      <c r="A37" s="6">
        <v>5.05</v>
      </c>
      <c r="B37" s="32" t="s">
        <v>32</v>
      </c>
      <c r="C37" s="33" t="s">
        <v>56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4"/>
        <v>input starter in column D</v>
      </c>
      <c r="Q37" s="5" t="str">
        <f t="shared" si="15"/>
        <v/>
      </c>
      <c r="R37" s="10">
        <v>5</v>
      </c>
      <c r="AJ37" s="33" t="str">
        <f t="shared" ca="1" si="3"/>
        <v>RCR</v>
      </c>
    </row>
    <row r="38" spans="1:36" ht="12.75">
      <c r="A38" s="6">
        <v>5.0599999999999996</v>
      </c>
      <c r="B38" s="32" t="s">
        <v>32</v>
      </c>
      <c r="C38" s="33" t="s">
        <v>56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4"/>
        <v>input starter in column D</v>
      </c>
      <c r="Q38" s="5" t="str">
        <f t="shared" si="15"/>
        <v/>
      </c>
      <c r="R38" s="10">
        <v>1</v>
      </c>
      <c r="AJ38" s="33" t="str">
        <f t="shared" ca="1" si="3"/>
        <v>RCR</v>
      </c>
    </row>
    <row r="39" spans="1:36" ht="12.75">
      <c r="A39" s="6">
        <v>5.07</v>
      </c>
      <c r="B39" s="32" t="s">
        <v>32</v>
      </c>
      <c r="C39" s="33" t="s">
        <v>56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4"/>
        <v>input starter in column D</v>
      </c>
      <c r="Q39" s="5" t="str">
        <f t="shared" si="15"/>
        <v/>
      </c>
      <c r="R39" s="10">
        <v>2</v>
      </c>
      <c r="AJ39" s="33" t="str">
        <f t="shared" ca="1" si="3"/>
        <v>RCR</v>
      </c>
    </row>
    <row r="40" spans="1:36" ht="12.75">
      <c r="A40" s="6">
        <v>5.08</v>
      </c>
      <c r="B40" s="32" t="s">
        <v>32</v>
      </c>
      <c r="C40" s="33" t="s">
        <v>56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4"/>
        <v>input starter in column D</v>
      </c>
      <c r="Q40" s="5" t="str">
        <f t="shared" si="15"/>
        <v/>
      </c>
      <c r="R40" s="10">
        <v>3</v>
      </c>
      <c r="AJ40" s="33" t="str">
        <f t="shared" ca="1" si="3"/>
        <v>RCR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 t="s">
        <v>32</v>
      </c>
      <c r="C42" s="33" t="s">
        <v>55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6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5"/>
        <v/>
      </c>
      <c r="R42" s="10">
        <v>4</v>
      </c>
      <c r="AJ42" s="33" t="str">
        <f t="shared" ca="1" si="3"/>
        <v>RCR</v>
      </c>
    </row>
    <row r="43" spans="1:36" ht="12.75">
      <c r="A43" s="6">
        <v>5.1100000000000003</v>
      </c>
      <c r="B43" s="33" t="s">
        <v>32</v>
      </c>
      <c r="C43" s="33" t="s">
        <v>55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6"/>
        <v>input starter in column D</v>
      </c>
      <c r="Q43" s="5" t="str">
        <f t="shared" si="15"/>
        <v/>
      </c>
      <c r="R43" s="10">
        <v>1</v>
      </c>
      <c r="AJ43" s="33" t="str">
        <f t="shared" ca="1" si="3"/>
        <v>RCR</v>
      </c>
    </row>
    <row r="44" spans="1:36" ht="12.75">
      <c r="A44" s="6">
        <v>5.12</v>
      </c>
      <c r="B44" s="33" t="s">
        <v>32</v>
      </c>
      <c r="C44" s="33" t="s">
        <v>55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6"/>
        <v>input starter in column D</v>
      </c>
      <c r="Q44" s="5" t="str">
        <f t="shared" si="15"/>
        <v/>
      </c>
      <c r="R44" s="10">
        <v>2</v>
      </c>
      <c r="AJ44" s="33" t="str">
        <f t="shared" ca="1" si="3"/>
        <v>RCR</v>
      </c>
    </row>
    <row r="45" spans="1:36" ht="12.75">
      <c r="A45" s="6">
        <v>5.13</v>
      </c>
      <c r="B45" s="33" t="s">
        <v>32</v>
      </c>
      <c r="C45" s="33" t="s">
        <v>55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6"/>
        <v>input starter in column D</v>
      </c>
      <c r="Q45" s="5" t="str">
        <f t="shared" si="15"/>
        <v/>
      </c>
      <c r="R45" s="10">
        <v>3</v>
      </c>
      <c r="AJ45" s="33" t="str">
        <f t="shared" ca="1" si="3"/>
        <v>RCR</v>
      </c>
    </row>
    <row r="46" spans="1:36" ht="12.75">
      <c r="A46" s="6">
        <v>5.14</v>
      </c>
      <c r="B46" s="33"/>
      <c r="C46" s="33" t="s">
        <v>51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6"/>
        <v>input starter in column D</v>
      </c>
      <c r="Q46" s="5" t="str">
        <f t="shared" si="15"/>
        <v/>
      </c>
      <c r="R46" s="10">
        <v>5</v>
      </c>
      <c r="AJ46" s="33" t="str">
        <f t="shared" ca="1" si="3"/>
        <v>RCR</v>
      </c>
    </row>
    <row r="47" spans="1:36" ht="12.75">
      <c r="A47" s="6">
        <v>5.15</v>
      </c>
      <c r="B47" s="33"/>
      <c r="C47" s="33" t="s">
        <v>51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6"/>
        <v>input starter in column D</v>
      </c>
      <c r="Q47" s="5" t="str">
        <f t="shared" si="15"/>
        <v/>
      </c>
      <c r="R47" s="10">
        <v>4</v>
      </c>
      <c r="AJ47" s="33" t="str">
        <f t="shared" ca="1" si="3"/>
        <v>RCR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/>
      <c r="C49" s="33" t="s">
        <v>51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7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5"/>
        <v/>
      </c>
      <c r="R49" s="10">
        <v>1</v>
      </c>
      <c r="AJ49" s="33" t="str">
        <f t="shared" ca="1" si="3"/>
        <v>RCR</v>
      </c>
    </row>
    <row r="50" spans="1:36" ht="12.75">
      <c r="A50" s="6">
        <v>5.18</v>
      </c>
      <c r="B50" s="33"/>
      <c r="C50" s="33" t="s">
        <v>51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7"/>
        <v>input starter in column D</v>
      </c>
      <c r="Q50" s="5" t="str">
        <f t="shared" si="15"/>
        <v/>
      </c>
      <c r="R50" s="10">
        <v>2</v>
      </c>
      <c r="AJ50" s="33" t="str">
        <f t="shared" ca="1" si="3"/>
        <v>RCR</v>
      </c>
    </row>
    <row r="51" spans="1:36" ht="12.75">
      <c r="A51" s="6">
        <v>5.19</v>
      </c>
      <c r="B51" s="32" t="s">
        <v>32</v>
      </c>
      <c r="C51" s="33" t="s">
        <v>53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7"/>
        <v>input starter in column D</v>
      </c>
      <c r="Q51" s="5" t="str">
        <f t="shared" si="15"/>
        <v/>
      </c>
      <c r="R51" s="10">
        <v>3</v>
      </c>
      <c r="AJ51" s="33" t="str">
        <f t="shared" ca="1" si="3"/>
        <v>RCR</v>
      </c>
    </row>
    <row r="52" spans="1:36" ht="12.75">
      <c r="A52" s="6">
        <v>5.2</v>
      </c>
      <c r="B52" s="32" t="s">
        <v>32</v>
      </c>
      <c r="C52" s="33" t="s">
        <v>53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7"/>
        <v>input starter in column D</v>
      </c>
      <c r="Q52" s="5" t="str">
        <f t="shared" si="15"/>
        <v/>
      </c>
      <c r="R52" s="10">
        <v>4</v>
      </c>
      <c r="AJ52" s="33" t="str">
        <f t="shared" ca="1" si="3"/>
        <v>RCR</v>
      </c>
    </row>
    <row r="53" spans="1:36" ht="12.75">
      <c r="A53" s="6">
        <v>5.21</v>
      </c>
      <c r="B53" s="32" t="s">
        <v>32</v>
      </c>
      <c r="C53" s="33" t="s">
        <v>53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7"/>
        <v>input starter in column D</v>
      </c>
      <c r="Q53" s="5" t="str">
        <f t="shared" si="15"/>
        <v/>
      </c>
      <c r="R53" s="10">
        <v>5</v>
      </c>
      <c r="AJ53" s="33" t="str">
        <f t="shared" ca="1" si="3"/>
        <v>RCR</v>
      </c>
    </row>
    <row r="54" spans="1:36" ht="12.75">
      <c r="A54" s="6">
        <v>5.22</v>
      </c>
      <c r="B54" s="32" t="s">
        <v>32</v>
      </c>
      <c r="C54" s="33" t="s">
        <v>53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7"/>
        <v>input starter in column D</v>
      </c>
      <c r="Q54" s="5" t="str">
        <f t="shared" si="15"/>
        <v/>
      </c>
      <c r="R54" s="10">
        <v>1</v>
      </c>
      <c r="AJ54" s="33" t="str">
        <f t="shared" ca="1" si="3"/>
        <v>RCR</v>
      </c>
    </row>
    <row r="55" spans="1:36" ht="12.75">
      <c r="A55" s="6">
        <v>5.23</v>
      </c>
      <c r="B55" s="32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52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8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5"/>
        <v/>
      </c>
      <c r="R56" s="10">
        <v>2</v>
      </c>
      <c r="AJ56" s="33" t="str">
        <f t="shared" ca="1" si="3"/>
        <v>RCR</v>
      </c>
    </row>
    <row r="57" spans="1:36" ht="12.75">
      <c r="A57" s="6">
        <v>5.25</v>
      </c>
      <c r="B57" s="33" t="s">
        <v>32</v>
      </c>
      <c r="C57" s="33" t="s">
        <v>52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8"/>
        <v>input starter in column D</v>
      </c>
      <c r="Q57" s="5" t="str">
        <f t="shared" si="15"/>
        <v/>
      </c>
      <c r="R57" s="10">
        <v>3</v>
      </c>
      <c r="AJ57" s="33" t="str">
        <f t="shared" ca="1" si="3"/>
        <v>RCR</v>
      </c>
    </row>
    <row r="58" spans="1:36" ht="12.75">
      <c r="A58" s="6">
        <v>5.26</v>
      </c>
      <c r="B58" s="33" t="s">
        <v>32</v>
      </c>
      <c r="C58" s="33" t="s">
        <v>52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8"/>
        <v>input starter in column D</v>
      </c>
      <c r="Q58" s="5" t="str">
        <f t="shared" si="15"/>
        <v/>
      </c>
      <c r="R58" s="10">
        <v>4</v>
      </c>
      <c r="AJ58" s="33" t="str">
        <f t="shared" ca="1" si="3"/>
        <v>RCR</v>
      </c>
    </row>
    <row r="59" spans="1:36" ht="12.75">
      <c r="A59" s="6">
        <v>5.27</v>
      </c>
      <c r="B59" s="33" t="s">
        <v>32</v>
      </c>
      <c r="C59" s="33" t="s">
        <v>52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8"/>
        <v>input starter in column D</v>
      </c>
      <c r="Q59" s="5" t="str">
        <f t="shared" si="15"/>
        <v/>
      </c>
      <c r="R59" s="10">
        <v>1</v>
      </c>
      <c r="AJ59" s="33" t="str">
        <f t="shared" ca="1" si="3"/>
        <v>RCR</v>
      </c>
    </row>
    <row r="60" spans="1:36" ht="12.75">
      <c r="A60" s="6">
        <v>5.28</v>
      </c>
      <c r="B60" s="33" t="s">
        <v>32</v>
      </c>
      <c r="C60" s="33" t="s">
        <v>44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8"/>
        <v>input starter in column D</v>
      </c>
      <c r="Q60" s="5" t="str">
        <f t="shared" si="15"/>
        <v/>
      </c>
      <c r="R60" s="10">
        <v>5</v>
      </c>
      <c r="AJ60" s="33" t="str">
        <f t="shared" ca="1" si="3"/>
        <v>RCR</v>
      </c>
    </row>
    <row r="61" spans="1:36" ht="12.75">
      <c r="A61" s="6">
        <v>5.29</v>
      </c>
      <c r="B61" s="33" t="s">
        <v>32</v>
      </c>
      <c r="C61" s="33" t="s">
        <v>44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8"/>
        <v>input starter in column D</v>
      </c>
      <c r="Q61" s="5" t="str">
        <f t="shared" si="15"/>
        <v/>
      </c>
      <c r="R61" s="10">
        <v>2</v>
      </c>
      <c r="AJ61" s="33" t="str">
        <f t="shared" ca="1" si="3"/>
        <v>RCR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44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9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5"/>
        <v/>
      </c>
      <c r="R63" s="10">
        <v>3</v>
      </c>
      <c r="AJ63" s="33" t="str">
        <f t="shared" ca="1" si="3"/>
        <v>RCR</v>
      </c>
    </row>
    <row r="64" spans="1:36" ht="12.75">
      <c r="A64" s="6">
        <v>6.01</v>
      </c>
      <c r="B64" s="33" t="s">
        <v>32</v>
      </c>
      <c r="C64" s="33" t="s">
        <v>17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9"/>
        <v>input starter in column D</v>
      </c>
      <c r="Q64" s="5" t="str">
        <f t="shared" si="15"/>
        <v/>
      </c>
      <c r="R64" s="10">
        <v>1</v>
      </c>
      <c r="AJ64" s="33" t="str">
        <f t="shared" ca="1" si="3"/>
        <v>RCR</v>
      </c>
    </row>
    <row r="65" spans="1:36" ht="12.75">
      <c r="A65" s="6">
        <v>6.02</v>
      </c>
      <c r="B65" s="33" t="s">
        <v>32</v>
      </c>
      <c r="C65" s="33" t="s">
        <v>17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9"/>
        <v>input starter in column D</v>
      </c>
      <c r="Q65" s="5" t="str">
        <f t="shared" si="15"/>
        <v/>
      </c>
      <c r="R65" s="10">
        <v>4</v>
      </c>
      <c r="AJ65" s="33" t="str">
        <f t="shared" ca="1" si="3"/>
        <v>RCR</v>
      </c>
    </row>
    <row r="66" spans="1:36" ht="12.75">
      <c r="A66" s="6">
        <v>6.03</v>
      </c>
      <c r="B66" s="33" t="s">
        <v>32</v>
      </c>
      <c r="C66" s="33" t="s">
        <v>17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9"/>
        <v>input starter in column D</v>
      </c>
      <c r="Q66" s="5" t="str">
        <f t="shared" si="15"/>
        <v/>
      </c>
      <c r="R66" s="10">
        <v>2</v>
      </c>
      <c r="AJ66" s="33" t="str">
        <f t="shared" ca="1" si="3"/>
        <v>RCR</v>
      </c>
    </row>
    <row r="67" spans="1:36" ht="12.75">
      <c r="A67" s="6">
        <v>6.04</v>
      </c>
      <c r="B67" s="33" t="s">
        <v>32</v>
      </c>
      <c r="C67" s="33" t="s">
        <v>17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9"/>
        <v>input starter in column D</v>
      </c>
      <c r="Q67" s="5" t="str">
        <f t="shared" si="15"/>
        <v/>
      </c>
      <c r="R67" s="10">
        <v>5</v>
      </c>
      <c r="AJ67" s="33" t="str">
        <f t="shared" ref="AJ67:AJ130" ca="1" si="20">IF(ISERROR((INDIRECT(""&amp;$C67&amp;"!c"&amp;ROW(C67)))),"",(INDIRECT(""&amp;$C67&amp;"!c"&amp;ROW(C67))))</f>
        <v>RCR</v>
      </c>
    </row>
    <row r="68" spans="1:36" ht="12.75">
      <c r="A68" s="6">
        <v>6.05</v>
      </c>
      <c r="B68" s="33"/>
      <c r="C68" s="33" t="s">
        <v>41</v>
      </c>
      <c r="D68" s="74"/>
      <c r="E68" s="75" t="str">
        <f t="shared" ref="E68:E131" si="21">IF(ISERROR((VLOOKUP($D68,$S$3:$AE$22,3,FALSE))),"",(VLOOKUP($D68,$S$3:$AE$22,3,FALSE)))</f>
        <v/>
      </c>
      <c r="F68" s="75" t="str">
        <f t="shared" ref="F68:F131" si="22">IF(ISERROR((VLOOKUP($D68,$S$3:$AE$22,5,FALSE))),"",(VLOOKUP($D68,$S$3:$AE$22,5,FALSE)))</f>
        <v/>
      </c>
      <c r="G68" s="75" t="str">
        <f t="shared" ref="G68:G131" si="23">IF(ISERROR((VLOOKUP($D68,$S$3:$AE$22,10,FALSE))),"",(VLOOKUP($D68,$S$3:$AE$22,10,FALSE)))</f>
        <v/>
      </c>
      <c r="H68" s="75" t="str">
        <f t="shared" ref="H68:H131" si="24">IF(ISERROR((VLOOKUP($D68,$S$3:$AE$22,11,FALSE))),"",(VLOOKUP($D68,$S$3:$AE$22,11,FALSE)))</f>
        <v/>
      </c>
      <c r="I68" s="75" t="str">
        <f t="shared" ref="I68:I131" si="25">IF(ISERROR((VLOOKUP($D68,$S$3:$AE$22,12,FALSE))),"",(VLOOKUP($D68,$S$3:$AE$22,12,FALSE)))</f>
        <v/>
      </c>
      <c r="J68" s="74" t="str">
        <f t="shared" ref="J68:J131" ca="1" si="26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9"/>
        <v>input starter in column D</v>
      </c>
      <c r="Q68" s="5" t="str">
        <f t="shared" si="15"/>
        <v/>
      </c>
      <c r="R68" s="10">
        <v>3</v>
      </c>
      <c r="AJ68" s="33" t="str">
        <f t="shared" ca="1" si="20"/>
        <v>RCR</v>
      </c>
    </row>
    <row r="69" spans="1:36" ht="12.75">
      <c r="A69" s="6">
        <v>6.06</v>
      </c>
      <c r="B69" s="33"/>
      <c r="C69" s="33" t="s">
        <v>41</v>
      </c>
      <c r="D69" s="74"/>
      <c r="E69" s="75" t="str">
        <f t="shared" si="21"/>
        <v/>
      </c>
      <c r="F69" s="75" t="str">
        <f t="shared" si="22"/>
        <v/>
      </c>
      <c r="G69" s="75" t="str">
        <f t="shared" si="23"/>
        <v/>
      </c>
      <c r="H69" s="75" t="str">
        <f t="shared" si="24"/>
        <v/>
      </c>
      <c r="I69" s="75" t="str">
        <f t="shared" si="25"/>
        <v/>
      </c>
      <c r="J69" s="74" t="str">
        <f t="shared" ca="1" si="26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9"/>
        <v>input starter in column D</v>
      </c>
      <c r="Q69" s="5" t="str">
        <f t="shared" si="15"/>
        <v/>
      </c>
      <c r="R69" s="10">
        <v>1</v>
      </c>
      <c r="AJ69" s="33" t="str">
        <f t="shared" ca="1" si="20"/>
        <v>RCR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20"/>
        <v/>
      </c>
    </row>
    <row r="71" spans="1:36" ht="12.75">
      <c r="A71" s="6">
        <v>6.08</v>
      </c>
      <c r="B71" s="33"/>
      <c r="C71" s="33" t="s">
        <v>41</v>
      </c>
      <c r="D71" s="74"/>
      <c r="E71" s="75" t="str">
        <f t="shared" si="21"/>
        <v/>
      </c>
      <c r="F71" s="75" t="str">
        <f t="shared" si="22"/>
        <v/>
      </c>
      <c r="G71" s="75" t="str">
        <f t="shared" si="23"/>
        <v/>
      </c>
      <c r="H71" s="75" t="str">
        <f t="shared" si="24"/>
        <v/>
      </c>
      <c r="I71" s="75" t="str">
        <f t="shared" si="25"/>
        <v/>
      </c>
      <c r="J71" s="74" t="str">
        <f t="shared" ca="1" si="26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7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5"/>
        <v/>
      </c>
      <c r="R71" s="10">
        <v>2</v>
      </c>
      <c r="AJ71" s="33" t="str">
        <f t="shared" ca="1" si="20"/>
        <v>RCR</v>
      </c>
    </row>
    <row r="72" spans="1:36" ht="12.75">
      <c r="A72" s="6">
        <v>6.09</v>
      </c>
      <c r="B72" s="33"/>
      <c r="C72" s="33" t="s">
        <v>41</v>
      </c>
      <c r="D72" s="74"/>
      <c r="E72" s="75" t="str">
        <f t="shared" si="21"/>
        <v/>
      </c>
      <c r="F72" s="75" t="str">
        <f t="shared" si="22"/>
        <v/>
      </c>
      <c r="G72" s="75" t="str">
        <f t="shared" si="23"/>
        <v/>
      </c>
      <c r="H72" s="75" t="str">
        <f t="shared" si="24"/>
        <v/>
      </c>
      <c r="I72" s="75" t="str">
        <f t="shared" si="25"/>
        <v/>
      </c>
      <c r="J72" s="74" t="str">
        <f t="shared" ca="1" si="26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7"/>
        <v>input starter in column D</v>
      </c>
      <c r="Q72" s="5" t="str">
        <f t="shared" si="15"/>
        <v/>
      </c>
      <c r="R72" s="10">
        <v>4</v>
      </c>
      <c r="AJ72" s="33" t="str">
        <f t="shared" ca="1" si="20"/>
        <v>RCR</v>
      </c>
    </row>
    <row r="73" spans="1:36" ht="12.75">
      <c r="A73" s="6">
        <v>6.1</v>
      </c>
      <c r="B73" s="32" t="s">
        <v>32</v>
      </c>
      <c r="C73" s="33" t="s">
        <v>16</v>
      </c>
      <c r="D73" s="74"/>
      <c r="E73" s="75" t="str">
        <f t="shared" si="21"/>
        <v/>
      </c>
      <c r="F73" s="75" t="str">
        <f t="shared" si="22"/>
        <v/>
      </c>
      <c r="G73" s="75" t="str">
        <f t="shared" si="23"/>
        <v/>
      </c>
      <c r="H73" s="75" t="str">
        <f t="shared" si="24"/>
        <v/>
      </c>
      <c r="I73" s="75" t="str">
        <f t="shared" si="25"/>
        <v/>
      </c>
      <c r="J73" s="74" t="str">
        <f t="shared" ca="1" si="26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7"/>
        <v>input starter in column D</v>
      </c>
      <c r="Q73" s="5" t="str">
        <f t="shared" si="15"/>
        <v/>
      </c>
      <c r="R73" s="10">
        <v>3</v>
      </c>
      <c r="AJ73" s="33" t="str">
        <f t="shared" ca="1" si="20"/>
        <v>RCR</v>
      </c>
    </row>
    <row r="74" spans="1:36" ht="12.75">
      <c r="A74" s="6">
        <v>6.11</v>
      </c>
      <c r="B74" s="32" t="s">
        <v>32</v>
      </c>
      <c r="C74" s="33" t="s">
        <v>16</v>
      </c>
      <c r="D74" s="74"/>
      <c r="E74" s="75" t="str">
        <f t="shared" si="21"/>
        <v/>
      </c>
      <c r="F74" s="75" t="str">
        <f t="shared" si="22"/>
        <v/>
      </c>
      <c r="G74" s="75" t="str">
        <f t="shared" si="23"/>
        <v/>
      </c>
      <c r="H74" s="75" t="str">
        <f t="shared" si="24"/>
        <v/>
      </c>
      <c r="I74" s="75" t="str">
        <f t="shared" si="25"/>
        <v/>
      </c>
      <c r="J74" s="74" t="str">
        <f t="shared" ca="1" si="26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7"/>
        <v>input starter in column D</v>
      </c>
      <c r="Q74" s="5" t="str">
        <f t="shared" si="15"/>
        <v/>
      </c>
      <c r="R74" s="10">
        <v>1</v>
      </c>
      <c r="AJ74" s="33" t="str">
        <f t="shared" ca="1" si="20"/>
        <v>RCR</v>
      </c>
    </row>
    <row r="75" spans="1:36" ht="12.75">
      <c r="A75" s="6">
        <v>6.12</v>
      </c>
      <c r="B75" s="32" t="s">
        <v>32</v>
      </c>
      <c r="C75" s="33" t="s">
        <v>16</v>
      </c>
      <c r="D75" s="74"/>
      <c r="E75" s="75" t="str">
        <f t="shared" si="21"/>
        <v/>
      </c>
      <c r="F75" s="75" t="str">
        <f t="shared" si="22"/>
        <v/>
      </c>
      <c r="G75" s="75" t="str">
        <f t="shared" si="23"/>
        <v/>
      </c>
      <c r="H75" s="75" t="str">
        <f t="shared" si="24"/>
        <v/>
      </c>
      <c r="I75" s="75" t="str">
        <f t="shared" si="25"/>
        <v/>
      </c>
      <c r="J75" s="74" t="str">
        <f t="shared" ca="1" si="26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7"/>
        <v>input starter in column D</v>
      </c>
      <c r="Q75" s="5" t="str">
        <f t="shared" si="15"/>
        <v/>
      </c>
      <c r="R75" s="10">
        <v>5</v>
      </c>
      <c r="AJ75" s="33" t="str">
        <f t="shared" ca="1" si="20"/>
        <v>RCR</v>
      </c>
    </row>
    <row r="76" spans="1:36" ht="12.75">
      <c r="A76" s="6">
        <v>6.13</v>
      </c>
      <c r="B76" s="32" t="s">
        <v>32</v>
      </c>
      <c r="C76" s="33" t="s">
        <v>16</v>
      </c>
      <c r="D76" s="74"/>
      <c r="E76" s="75" t="str">
        <f t="shared" si="21"/>
        <v/>
      </c>
      <c r="F76" s="75" t="str">
        <f t="shared" si="22"/>
        <v/>
      </c>
      <c r="G76" s="75" t="str">
        <f t="shared" si="23"/>
        <v/>
      </c>
      <c r="H76" s="75" t="str">
        <f t="shared" si="24"/>
        <v/>
      </c>
      <c r="I76" s="75" t="str">
        <f t="shared" si="25"/>
        <v/>
      </c>
      <c r="J76" s="74" t="str">
        <f t="shared" ca="1" si="26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7"/>
        <v>input starter in column D</v>
      </c>
      <c r="Q76" s="5" t="str">
        <f t="shared" si="15"/>
        <v/>
      </c>
      <c r="R76" s="10">
        <v>2</v>
      </c>
      <c r="AJ76" s="33" t="str">
        <f t="shared" ca="1" si="20"/>
        <v>RCR</v>
      </c>
    </row>
    <row r="77" spans="1:36" ht="12.75">
      <c r="A77" s="6">
        <v>6.14</v>
      </c>
      <c r="B77" s="33"/>
      <c r="C77" s="33" t="s">
        <v>48</v>
      </c>
      <c r="D77" s="74"/>
      <c r="E77" s="75" t="str">
        <f t="shared" si="21"/>
        <v/>
      </c>
      <c r="F77" s="75" t="str">
        <f t="shared" si="22"/>
        <v/>
      </c>
      <c r="G77" s="75" t="str">
        <f t="shared" si="23"/>
        <v/>
      </c>
      <c r="H77" s="75" t="str">
        <f t="shared" si="24"/>
        <v/>
      </c>
      <c r="I77" s="75" t="str">
        <f t="shared" si="25"/>
        <v/>
      </c>
      <c r="J77" s="74" t="str">
        <f t="shared" ca="1" si="26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7"/>
        <v>input starter in column D</v>
      </c>
      <c r="Q77" s="5" t="str">
        <f t="shared" si="15"/>
        <v/>
      </c>
      <c r="R77" s="10">
        <v>4</v>
      </c>
      <c r="AJ77" s="33" t="str">
        <f t="shared" ca="1" si="20"/>
        <v>RCR</v>
      </c>
    </row>
    <row r="78" spans="1:36" ht="12.75">
      <c r="A78" s="6">
        <v>6.15</v>
      </c>
      <c r="B78" s="33"/>
      <c r="C78" s="33" t="s">
        <v>48</v>
      </c>
      <c r="D78" s="74"/>
      <c r="E78" s="75" t="str">
        <f t="shared" si="21"/>
        <v/>
      </c>
      <c r="F78" s="75" t="str">
        <f t="shared" si="22"/>
        <v/>
      </c>
      <c r="G78" s="75" t="str">
        <f t="shared" si="23"/>
        <v/>
      </c>
      <c r="H78" s="75" t="str">
        <f t="shared" si="24"/>
        <v/>
      </c>
      <c r="I78" s="75" t="str">
        <f t="shared" si="25"/>
        <v/>
      </c>
      <c r="J78" s="74" t="str">
        <f t="shared" ca="1" si="26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7"/>
        <v>input starter in column D</v>
      </c>
      <c r="Q78" s="5" t="str">
        <f t="shared" si="15"/>
        <v/>
      </c>
      <c r="R78" s="10">
        <v>3</v>
      </c>
      <c r="AJ78" s="33" t="str">
        <f t="shared" ca="1" si="20"/>
        <v>RCR</v>
      </c>
    </row>
    <row r="79" spans="1:36" ht="12.75">
      <c r="A79" s="6">
        <v>6.16</v>
      </c>
      <c r="B79" s="33"/>
      <c r="C79" s="33" t="s">
        <v>48</v>
      </c>
      <c r="D79" s="74"/>
      <c r="E79" s="75" t="str">
        <f t="shared" si="21"/>
        <v/>
      </c>
      <c r="F79" s="75" t="str">
        <f t="shared" si="22"/>
        <v/>
      </c>
      <c r="G79" s="75" t="str">
        <f t="shared" si="23"/>
        <v/>
      </c>
      <c r="H79" s="75" t="str">
        <f t="shared" si="24"/>
        <v/>
      </c>
      <c r="I79" s="75" t="str">
        <f t="shared" si="25"/>
        <v/>
      </c>
      <c r="J79" s="74" t="str">
        <f t="shared" ca="1" si="26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7"/>
        <v>input starter in column D</v>
      </c>
      <c r="Q79" s="5" t="str">
        <f t="shared" si="15"/>
        <v/>
      </c>
      <c r="R79" s="10">
        <v>1</v>
      </c>
      <c r="AJ79" s="33" t="str">
        <f t="shared" ca="1" si="20"/>
        <v>RCR</v>
      </c>
    </row>
    <row r="80" spans="1:36" ht="12.75">
      <c r="A80" s="6">
        <v>6.17</v>
      </c>
      <c r="B80" s="33"/>
      <c r="C80" s="33" t="s">
        <v>48</v>
      </c>
      <c r="D80" s="74"/>
      <c r="E80" s="75" t="str">
        <f t="shared" si="21"/>
        <v/>
      </c>
      <c r="F80" s="75" t="str">
        <f t="shared" si="22"/>
        <v/>
      </c>
      <c r="G80" s="75" t="str">
        <f t="shared" si="23"/>
        <v/>
      </c>
      <c r="H80" s="75" t="str">
        <f t="shared" si="24"/>
        <v/>
      </c>
      <c r="I80" s="75" t="str">
        <f t="shared" si="25"/>
        <v/>
      </c>
      <c r="J80" s="74" t="str">
        <f t="shared" ca="1" si="26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7"/>
        <v>input starter in column D</v>
      </c>
      <c r="Q80" s="5" t="str">
        <f t="shared" si="15"/>
        <v/>
      </c>
      <c r="R80" s="10">
        <v>5</v>
      </c>
      <c r="AJ80" s="33" t="str">
        <f t="shared" ca="1" si="20"/>
        <v>RCR</v>
      </c>
    </row>
    <row r="81" spans="1:36" ht="12.75">
      <c r="A81" s="6">
        <v>6.18</v>
      </c>
      <c r="B81" s="33" t="s">
        <v>32</v>
      </c>
      <c r="C81" s="33" t="s">
        <v>49</v>
      </c>
      <c r="D81" s="74"/>
      <c r="E81" s="75" t="str">
        <f t="shared" si="21"/>
        <v/>
      </c>
      <c r="F81" s="75" t="str">
        <f t="shared" si="22"/>
        <v/>
      </c>
      <c r="G81" s="75" t="str">
        <f t="shared" si="23"/>
        <v/>
      </c>
      <c r="H81" s="75" t="str">
        <f t="shared" si="24"/>
        <v/>
      </c>
      <c r="I81" s="75" t="str">
        <f t="shared" si="25"/>
        <v/>
      </c>
      <c r="J81" s="74" t="str">
        <f t="shared" ca="1" si="26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7"/>
        <v>input starter in column D</v>
      </c>
      <c r="Q81" s="5" t="str">
        <f t="shared" si="15"/>
        <v/>
      </c>
      <c r="R81" s="10">
        <v>2</v>
      </c>
      <c r="AJ81" s="33" t="str">
        <f t="shared" ca="1" si="20"/>
        <v>RCR</v>
      </c>
    </row>
    <row r="82" spans="1:36" ht="12.75">
      <c r="A82" s="6">
        <v>6.19</v>
      </c>
      <c r="B82" s="33" t="s">
        <v>32</v>
      </c>
      <c r="C82" s="33" t="s">
        <v>49</v>
      </c>
      <c r="D82" s="74"/>
      <c r="E82" s="75" t="str">
        <f t="shared" si="21"/>
        <v/>
      </c>
      <c r="F82" s="75" t="str">
        <f t="shared" si="22"/>
        <v/>
      </c>
      <c r="G82" s="75" t="str">
        <f t="shared" si="23"/>
        <v/>
      </c>
      <c r="H82" s="75" t="str">
        <f t="shared" si="24"/>
        <v/>
      </c>
      <c r="I82" s="75" t="str">
        <f t="shared" si="25"/>
        <v/>
      </c>
      <c r="J82" s="74" t="str">
        <f t="shared" ca="1" si="26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7"/>
        <v>input starter in column D</v>
      </c>
      <c r="Q82" s="5" t="str">
        <f t="shared" si="15"/>
        <v/>
      </c>
      <c r="R82" s="10">
        <v>4</v>
      </c>
      <c r="AJ82" s="33" t="str">
        <f t="shared" ca="1" si="20"/>
        <v>RCR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20"/>
        <v/>
      </c>
    </row>
    <row r="84" spans="1:36" ht="12.75">
      <c r="A84" s="6">
        <v>6.21</v>
      </c>
      <c r="B84" s="33" t="s">
        <v>32</v>
      </c>
      <c r="C84" s="33" t="s">
        <v>49</v>
      </c>
      <c r="D84" s="74"/>
      <c r="E84" s="75" t="str">
        <f t="shared" si="21"/>
        <v/>
      </c>
      <c r="F84" s="75" t="str">
        <f t="shared" si="22"/>
        <v/>
      </c>
      <c r="G84" s="75" t="str">
        <f t="shared" si="23"/>
        <v/>
      </c>
      <c r="H84" s="75" t="str">
        <f t="shared" si="24"/>
        <v/>
      </c>
      <c r="I84" s="75" t="str">
        <f t="shared" si="25"/>
        <v/>
      </c>
      <c r="J84" s="74" t="str">
        <f t="shared" ca="1" si="26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8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5"/>
        <v/>
      </c>
      <c r="R84" s="10">
        <v>1</v>
      </c>
      <c r="AJ84" s="33" t="str">
        <f t="shared" ca="1" si="20"/>
        <v>RCR</v>
      </c>
    </row>
    <row r="85" spans="1:36" ht="12.75">
      <c r="A85" s="6">
        <v>6.22</v>
      </c>
      <c r="B85" s="33" t="s">
        <v>32</v>
      </c>
      <c r="C85" s="33" t="s">
        <v>49</v>
      </c>
      <c r="D85" s="74"/>
      <c r="E85" s="75" t="str">
        <f t="shared" si="21"/>
        <v/>
      </c>
      <c r="F85" s="75" t="str">
        <f t="shared" si="22"/>
        <v/>
      </c>
      <c r="G85" s="75" t="str">
        <f t="shared" si="23"/>
        <v/>
      </c>
      <c r="H85" s="75" t="str">
        <f t="shared" si="24"/>
        <v/>
      </c>
      <c r="I85" s="75" t="str">
        <f t="shared" si="25"/>
        <v/>
      </c>
      <c r="J85" s="74" t="str">
        <f t="shared" ca="1" si="26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8"/>
        <v>input starter in column D</v>
      </c>
      <c r="Q85" s="5" t="str">
        <f t="shared" si="15"/>
        <v/>
      </c>
      <c r="R85" s="10">
        <v>3</v>
      </c>
      <c r="AJ85" s="33" t="str">
        <f t="shared" ca="1" si="20"/>
        <v>RCR</v>
      </c>
    </row>
    <row r="86" spans="1:36" ht="12.75">
      <c r="A86" s="6">
        <v>6.23</v>
      </c>
      <c r="B86" s="33"/>
      <c r="C86" s="33" t="s">
        <v>43</v>
      </c>
      <c r="D86" s="74"/>
      <c r="E86" s="75" t="str">
        <f t="shared" si="21"/>
        <v/>
      </c>
      <c r="F86" s="75" t="str">
        <f t="shared" si="22"/>
        <v/>
      </c>
      <c r="G86" s="75" t="str">
        <f t="shared" si="23"/>
        <v/>
      </c>
      <c r="H86" s="75" t="str">
        <f t="shared" si="24"/>
        <v/>
      </c>
      <c r="I86" s="75" t="str">
        <f t="shared" si="25"/>
        <v/>
      </c>
      <c r="J86" s="74" t="str">
        <f t="shared" ca="1" si="26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8"/>
        <v>input starter in column D</v>
      </c>
      <c r="Q86" s="5" t="str">
        <f t="shared" si="15"/>
        <v/>
      </c>
      <c r="R86" s="10">
        <v>2</v>
      </c>
      <c r="AJ86" s="33" t="str">
        <f t="shared" ca="1" si="20"/>
        <v>RCR</v>
      </c>
    </row>
    <row r="87" spans="1:36" ht="12.75">
      <c r="A87" s="6">
        <v>6.24</v>
      </c>
      <c r="B87" s="33"/>
      <c r="C87" s="33" t="s">
        <v>43</v>
      </c>
      <c r="D87" s="74"/>
      <c r="E87" s="75" t="str">
        <f t="shared" si="21"/>
        <v/>
      </c>
      <c r="F87" s="75" t="str">
        <f t="shared" si="22"/>
        <v/>
      </c>
      <c r="G87" s="75" t="str">
        <f t="shared" si="23"/>
        <v/>
      </c>
      <c r="H87" s="75" t="str">
        <f t="shared" si="24"/>
        <v/>
      </c>
      <c r="I87" s="75" t="str">
        <f t="shared" si="25"/>
        <v/>
      </c>
      <c r="J87" s="74" t="str">
        <f t="shared" ca="1" si="26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8"/>
        <v>input starter in column D</v>
      </c>
      <c r="Q87" s="5" t="str">
        <f t="shared" si="15"/>
        <v/>
      </c>
      <c r="R87" s="10">
        <v>4</v>
      </c>
      <c r="AJ87" s="33" t="str">
        <f t="shared" ca="1" si="20"/>
        <v>RCR</v>
      </c>
    </row>
    <row r="88" spans="1:36" ht="12.75">
      <c r="A88" s="6">
        <v>6.25</v>
      </c>
      <c r="B88" s="33"/>
      <c r="C88" s="33" t="s">
        <v>43</v>
      </c>
      <c r="D88" s="74"/>
      <c r="E88" s="75" t="str">
        <f t="shared" si="21"/>
        <v/>
      </c>
      <c r="F88" s="75" t="str">
        <f t="shared" si="22"/>
        <v/>
      </c>
      <c r="G88" s="75" t="str">
        <f t="shared" si="23"/>
        <v/>
      </c>
      <c r="H88" s="75" t="str">
        <f t="shared" si="24"/>
        <v/>
      </c>
      <c r="I88" s="75" t="str">
        <f t="shared" si="25"/>
        <v/>
      </c>
      <c r="J88" s="74" t="str">
        <f t="shared" ca="1" si="26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8"/>
        <v>input starter in column D</v>
      </c>
      <c r="Q88" s="5" t="str">
        <f t="shared" si="15"/>
        <v/>
      </c>
      <c r="R88" s="10">
        <v>5</v>
      </c>
      <c r="AJ88" s="33" t="str">
        <f t="shared" ca="1" si="20"/>
        <v>RCR</v>
      </c>
    </row>
    <row r="89" spans="1:36" ht="12.75">
      <c r="A89" s="6">
        <v>6.26</v>
      </c>
      <c r="B89" s="33"/>
      <c r="C89" s="33" t="s">
        <v>43</v>
      </c>
      <c r="D89" s="74"/>
      <c r="E89" s="75" t="str">
        <f t="shared" si="21"/>
        <v/>
      </c>
      <c r="F89" s="75" t="str">
        <f t="shared" si="22"/>
        <v/>
      </c>
      <c r="G89" s="75" t="str">
        <f t="shared" si="23"/>
        <v/>
      </c>
      <c r="H89" s="75" t="str">
        <f t="shared" si="24"/>
        <v/>
      </c>
      <c r="I89" s="75" t="str">
        <f t="shared" si="25"/>
        <v/>
      </c>
      <c r="J89" s="74" t="str">
        <f t="shared" ca="1" si="26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8"/>
        <v>input starter in column D</v>
      </c>
      <c r="Q89" s="5" t="str">
        <f t="shared" si="15"/>
        <v/>
      </c>
      <c r="R89" s="10">
        <v>1</v>
      </c>
      <c r="AJ89" s="33" t="str">
        <f t="shared" ca="1" si="20"/>
        <v>RCR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20"/>
        <v/>
      </c>
    </row>
    <row r="91" spans="1:36" ht="15">
      <c r="A91" s="6">
        <v>6.28</v>
      </c>
      <c r="B91" s="37"/>
      <c r="C91" s="36" t="s">
        <v>39</v>
      </c>
      <c r="D91" s="74"/>
      <c r="E91" s="75" t="str">
        <f t="shared" si="21"/>
        <v/>
      </c>
      <c r="F91" s="75" t="str">
        <f t="shared" si="22"/>
        <v/>
      </c>
      <c r="G91" s="75" t="str">
        <f t="shared" si="23"/>
        <v/>
      </c>
      <c r="H91" s="75" t="str">
        <f t="shared" si="24"/>
        <v/>
      </c>
      <c r="I91" s="75" t="str">
        <f t="shared" si="25"/>
        <v/>
      </c>
      <c r="J91" s="74" t="str">
        <f t="shared" ca="1" si="26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9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5"/>
        <v/>
      </c>
      <c r="R91" s="10">
        <v>2</v>
      </c>
      <c r="AJ91" s="33" t="str">
        <f t="shared" ca="1" si="20"/>
        <v>RCR</v>
      </c>
    </row>
    <row r="92" spans="1:36" ht="15">
      <c r="A92" s="6">
        <v>6.29</v>
      </c>
      <c r="B92" s="37"/>
      <c r="C92" s="36" t="s">
        <v>39</v>
      </c>
      <c r="D92" s="74"/>
      <c r="E92" s="75" t="str">
        <f t="shared" si="21"/>
        <v/>
      </c>
      <c r="F92" s="75" t="str">
        <f t="shared" si="22"/>
        <v/>
      </c>
      <c r="G92" s="75" t="str">
        <f t="shared" si="23"/>
        <v/>
      </c>
      <c r="H92" s="75" t="str">
        <f t="shared" si="24"/>
        <v/>
      </c>
      <c r="I92" s="75" t="str">
        <f t="shared" si="25"/>
        <v/>
      </c>
      <c r="J92" s="74" t="str">
        <f t="shared" ca="1" si="26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9"/>
        <v>input starter in column D</v>
      </c>
      <c r="Q92" s="5" t="str">
        <f t="shared" si="15"/>
        <v/>
      </c>
      <c r="R92" s="10">
        <v>3</v>
      </c>
      <c r="AJ92" s="33" t="str">
        <f t="shared" ca="1" si="20"/>
        <v>RCR</v>
      </c>
    </row>
    <row r="93" spans="1:36" ht="15">
      <c r="A93" s="6">
        <v>6.3</v>
      </c>
      <c r="B93" s="37"/>
      <c r="C93" s="36" t="s">
        <v>39</v>
      </c>
      <c r="D93" s="74"/>
      <c r="E93" s="75" t="str">
        <f t="shared" si="21"/>
        <v/>
      </c>
      <c r="F93" s="75" t="str">
        <f t="shared" si="22"/>
        <v/>
      </c>
      <c r="G93" s="75" t="str">
        <f t="shared" si="23"/>
        <v/>
      </c>
      <c r="H93" s="75" t="str">
        <f t="shared" si="24"/>
        <v/>
      </c>
      <c r="I93" s="75" t="str">
        <f t="shared" si="25"/>
        <v/>
      </c>
      <c r="J93" s="74" t="str">
        <f t="shared" ca="1" si="26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9"/>
        <v>input starter in column D</v>
      </c>
      <c r="Q93" s="5" t="str">
        <f t="shared" si="15"/>
        <v/>
      </c>
      <c r="R93" s="10">
        <v>4</v>
      </c>
      <c r="AJ93" s="33" t="str">
        <f t="shared" ca="1" si="20"/>
        <v>RCR</v>
      </c>
    </row>
    <row r="94" spans="1:36" ht="12.75">
      <c r="A94" s="6">
        <v>7.01</v>
      </c>
      <c r="B94" s="33" t="s">
        <v>32</v>
      </c>
      <c r="C94" s="33" t="s">
        <v>1191</v>
      </c>
      <c r="D94" s="74"/>
      <c r="E94" s="75" t="str">
        <f t="shared" si="21"/>
        <v/>
      </c>
      <c r="F94" s="75" t="str">
        <f t="shared" si="22"/>
        <v/>
      </c>
      <c r="G94" s="75" t="str">
        <f t="shared" si="23"/>
        <v/>
      </c>
      <c r="H94" s="75" t="str">
        <f t="shared" si="24"/>
        <v/>
      </c>
      <c r="I94" s="75" t="str">
        <f t="shared" si="25"/>
        <v/>
      </c>
      <c r="J94" s="74" t="str">
        <f t="shared" ca="1" si="26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9"/>
        <v>input starter in column D</v>
      </c>
      <c r="Q94" s="5" t="str">
        <f t="shared" si="15"/>
        <v/>
      </c>
      <c r="R94" s="10">
        <v>1</v>
      </c>
      <c r="AJ94" s="33" t="str">
        <f t="shared" ca="1" si="20"/>
        <v>RCR</v>
      </c>
    </row>
    <row r="95" spans="1:36" ht="12.75">
      <c r="A95" s="6">
        <v>7.02</v>
      </c>
      <c r="B95" s="33" t="s">
        <v>32</v>
      </c>
      <c r="C95" s="33" t="s">
        <v>1191</v>
      </c>
      <c r="D95" s="74"/>
      <c r="E95" s="75" t="str">
        <f t="shared" si="21"/>
        <v/>
      </c>
      <c r="F95" s="75" t="str">
        <f t="shared" si="22"/>
        <v/>
      </c>
      <c r="G95" s="75" t="str">
        <f t="shared" si="23"/>
        <v/>
      </c>
      <c r="H95" s="75" t="str">
        <f t="shared" si="24"/>
        <v/>
      </c>
      <c r="I95" s="75" t="str">
        <f t="shared" si="25"/>
        <v/>
      </c>
      <c r="J95" s="74" t="str">
        <f t="shared" ca="1" si="26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9"/>
        <v>input starter in column D</v>
      </c>
      <c r="Q95" s="5" t="str">
        <f t="shared" si="15"/>
        <v/>
      </c>
      <c r="R95" s="10">
        <v>5</v>
      </c>
      <c r="AJ95" s="33" t="str">
        <f t="shared" ca="1" si="20"/>
        <v>RCR</v>
      </c>
    </row>
    <row r="96" spans="1:36" ht="12.75">
      <c r="A96" s="6">
        <v>7.03</v>
      </c>
      <c r="B96" s="33" t="s">
        <v>32</v>
      </c>
      <c r="C96" s="33" t="s">
        <v>1191</v>
      </c>
      <c r="D96" s="74"/>
      <c r="E96" s="75" t="str">
        <f t="shared" si="21"/>
        <v/>
      </c>
      <c r="F96" s="75" t="str">
        <f t="shared" si="22"/>
        <v/>
      </c>
      <c r="G96" s="75" t="str">
        <f t="shared" si="23"/>
        <v/>
      </c>
      <c r="H96" s="75" t="str">
        <f t="shared" si="24"/>
        <v/>
      </c>
      <c r="I96" s="75" t="str">
        <f t="shared" si="25"/>
        <v/>
      </c>
      <c r="J96" s="74" t="str">
        <f t="shared" ca="1" si="26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9"/>
        <v>input starter in column D</v>
      </c>
      <c r="Q96" s="5" t="str">
        <f t="shared" si="15"/>
        <v/>
      </c>
      <c r="R96" s="10">
        <v>2</v>
      </c>
      <c r="AJ96" s="33" t="str">
        <f t="shared" ca="1" si="20"/>
        <v>RCR</v>
      </c>
    </row>
    <row r="97" spans="1:36" ht="12.75">
      <c r="A97" s="6">
        <v>7.04</v>
      </c>
      <c r="B97" s="32"/>
      <c r="C97" s="33" t="s">
        <v>35</v>
      </c>
      <c r="D97" s="74"/>
      <c r="E97" s="75" t="str">
        <f t="shared" si="21"/>
        <v/>
      </c>
      <c r="F97" s="75" t="str">
        <f t="shared" si="22"/>
        <v/>
      </c>
      <c r="G97" s="75" t="str">
        <f t="shared" si="23"/>
        <v/>
      </c>
      <c r="H97" s="75" t="str">
        <f t="shared" si="24"/>
        <v/>
      </c>
      <c r="I97" s="75" t="str">
        <f t="shared" si="25"/>
        <v/>
      </c>
      <c r="J97" s="74" t="str">
        <f t="shared" ca="1" si="26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9"/>
        <v>input starter in column D</v>
      </c>
      <c r="Q97" s="5" t="str">
        <f t="shared" ref="Q97:Q160" si="30">IF(P97="not enough rest","input a DIFFERENT starter in column C","")</f>
        <v/>
      </c>
      <c r="R97" s="10">
        <v>3</v>
      </c>
      <c r="AJ97" s="33" t="str">
        <f t="shared" ca="1" si="20"/>
        <v>RCR</v>
      </c>
    </row>
    <row r="98" spans="1:36" ht="12.75">
      <c r="A98" s="6">
        <v>7.05</v>
      </c>
      <c r="B98" s="32"/>
      <c r="C98" s="33" t="s">
        <v>35</v>
      </c>
      <c r="D98" s="74"/>
      <c r="E98" s="75" t="str">
        <f t="shared" si="21"/>
        <v/>
      </c>
      <c r="F98" s="75" t="str">
        <f t="shared" si="22"/>
        <v/>
      </c>
      <c r="G98" s="75" t="str">
        <f t="shared" si="23"/>
        <v/>
      </c>
      <c r="H98" s="75" t="str">
        <f t="shared" si="24"/>
        <v/>
      </c>
      <c r="I98" s="75" t="str">
        <f t="shared" si="25"/>
        <v/>
      </c>
      <c r="J98" s="74" t="str">
        <f t="shared" ca="1" si="26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9"/>
        <v>input starter in column D</v>
      </c>
      <c r="Q98" s="5" t="str">
        <f t="shared" si="30"/>
        <v/>
      </c>
      <c r="R98" s="10">
        <v>4</v>
      </c>
      <c r="AJ98" s="33" t="str">
        <f t="shared" ca="1" si="20"/>
        <v>RCR</v>
      </c>
    </row>
    <row r="99" spans="1:36" ht="12.75">
      <c r="A99" s="6">
        <v>7.06</v>
      </c>
      <c r="B99" s="32"/>
      <c r="C99" s="33" t="s">
        <v>35</v>
      </c>
      <c r="D99" s="74"/>
      <c r="E99" s="75" t="str">
        <f t="shared" si="21"/>
        <v/>
      </c>
      <c r="F99" s="75" t="str">
        <f t="shared" si="22"/>
        <v/>
      </c>
      <c r="G99" s="75" t="str">
        <f t="shared" si="23"/>
        <v/>
      </c>
      <c r="H99" s="75" t="str">
        <f t="shared" si="24"/>
        <v/>
      </c>
      <c r="I99" s="75" t="str">
        <f t="shared" si="25"/>
        <v/>
      </c>
      <c r="J99" s="74" t="str">
        <f t="shared" ca="1" si="26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9"/>
        <v>input starter in column D</v>
      </c>
      <c r="Q99" s="5" t="str">
        <f t="shared" si="30"/>
        <v/>
      </c>
      <c r="R99" s="10">
        <v>1</v>
      </c>
      <c r="AJ99" s="33" t="str">
        <f t="shared" ca="1" si="20"/>
        <v>RCR</v>
      </c>
    </row>
    <row r="100" spans="1:36" ht="12.75">
      <c r="A100" s="6">
        <v>7.07</v>
      </c>
      <c r="B100" s="33"/>
      <c r="C100" s="33" t="s">
        <v>46</v>
      </c>
      <c r="D100" s="74"/>
      <c r="E100" s="75" t="str">
        <f t="shared" si="21"/>
        <v/>
      </c>
      <c r="F100" s="75" t="str">
        <f t="shared" si="22"/>
        <v/>
      </c>
      <c r="G100" s="75" t="str">
        <f t="shared" si="23"/>
        <v/>
      </c>
      <c r="H100" s="75" t="str">
        <f t="shared" si="24"/>
        <v/>
      </c>
      <c r="I100" s="75" t="str">
        <f t="shared" si="25"/>
        <v/>
      </c>
      <c r="J100" s="74" t="str">
        <f t="shared" ca="1" si="26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9"/>
        <v>input starter in column D</v>
      </c>
      <c r="Q100" s="5" t="str">
        <f t="shared" si="30"/>
        <v/>
      </c>
      <c r="R100" s="10">
        <v>5</v>
      </c>
      <c r="AJ100" s="33" t="str">
        <f t="shared" ca="1" si="20"/>
        <v>RCR</v>
      </c>
    </row>
    <row r="101" spans="1:36" ht="12.75">
      <c r="A101" s="6">
        <v>7.08</v>
      </c>
      <c r="B101" s="33"/>
      <c r="C101" s="33" t="s">
        <v>46</v>
      </c>
      <c r="D101" s="74"/>
      <c r="E101" s="75" t="str">
        <f t="shared" si="21"/>
        <v/>
      </c>
      <c r="F101" s="75" t="str">
        <f t="shared" si="22"/>
        <v/>
      </c>
      <c r="G101" s="75" t="str">
        <f t="shared" si="23"/>
        <v/>
      </c>
      <c r="H101" s="75" t="str">
        <f t="shared" si="24"/>
        <v/>
      </c>
      <c r="I101" s="75" t="str">
        <f t="shared" si="25"/>
        <v/>
      </c>
      <c r="J101" s="74" t="str">
        <f t="shared" ca="1" si="26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9"/>
        <v>input starter in column D</v>
      </c>
      <c r="Q101" s="5" t="str">
        <f t="shared" si="30"/>
        <v/>
      </c>
      <c r="R101" s="10">
        <v>2</v>
      </c>
      <c r="AJ101" s="33" t="str">
        <f t="shared" ca="1" si="20"/>
        <v>RCR</v>
      </c>
    </row>
    <row r="102" spans="1:36" ht="12.75">
      <c r="A102" s="6">
        <v>7.09</v>
      </c>
      <c r="B102" s="33"/>
      <c r="C102" s="33" t="s">
        <v>46</v>
      </c>
      <c r="D102" s="74"/>
      <c r="E102" s="75" t="str">
        <f t="shared" si="21"/>
        <v/>
      </c>
      <c r="F102" s="75" t="str">
        <f t="shared" si="22"/>
        <v/>
      </c>
      <c r="G102" s="75" t="str">
        <f t="shared" si="23"/>
        <v/>
      </c>
      <c r="H102" s="75" t="str">
        <f t="shared" si="24"/>
        <v/>
      </c>
      <c r="I102" s="75" t="str">
        <f t="shared" si="25"/>
        <v/>
      </c>
      <c r="J102" s="74" t="str">
        <f t="shared" ca="1" si="26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9"/>
        <v>input starter in column D</v>
      </c>
      <c r="Q102" s="5" t="str">
        <f t="shared" si="30"/>
        <v/>
      </c>
      <c r="R102" s="10">
        <v>3</v>
      </c>
      <c r="AJ102" s="33" t="str">
        <f t="shared" ca="1" si="20"/>
        <v>RCR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20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20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20"/>
        <v/>
      </c>
    </row>
    <row r="106" spans="1:36" ht="12.75">
      <c r="A106" s="6">
        <v>7.13</v>
      </c>
      <c r="B106" s="33"/>
      <c r="C106" s="33" t="s">
        <v>42</v>
      </c>
      <c r="D106" s="74"/>
      <c r="E106" s="75" t="str">
        <f t="shared" si="21"/>
        <v/>
      </c>
      <c r="F106" s="75" t="str">
        <f t="shared" si="22"/>
        <v/>
      </c>
      <c r="G106" s="75" t="str">
        <f t="shared" si="23"/>
        <v/>
      </c>
      <c r="H106" s="75" t="str">
        <f t="shared" si="24"/>
        <v/>
      </c>
      <c r="I106" s="75" t="str">
        <f t="shared" si="25"/>
        <v/>
      </c>
      <c r="J106" s="74" t="str">
        <f t="shared" ca="1" si="26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31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30"/>
        <v/>
      </c>
      <c r="R106" s="10">
        <v>1</v>
      </c>
      <c r="AJ106" s="33" t="str">
        <f t="shared" ca="1" si="20"/>
        <v>RCR</v>
      </c>
    </row>
    <row r="107" spans="1:36" ht="12.75">
      <c r="A107" s="6">
        <v>7.14</v>
      </c>
      <c r="B107" s="33"/>
      <c r="C107" s="33" t="s">
        <v>42</v>
      </c>
      <c r="D107" s="74"/>
      <c r="E107" s="75" t="str">
        <f t="shared" si="21"/>
        <v/>
      </c>
      <c r="F107" s="75" t="str">
        <f t="shared" si="22"/>
        <v/>
      </c>
      <c r="G107" s="75" t="str">
        <f t="shared" si="23"/>
        <v/>
      </c>
      <c r="H107" s="75" t="str">
        <f t="shared" si="24"/>
        <v/>
      </c>
      <c r="I107" s="75" t="str">
        <f t="shared" si="25"/>
        <v/>
      </c>
      <c r="J107" s="74" t="str">
        <f t="shared" ca="1" si="26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31"/>
        <v>input starter in column D</v>
      </c>
      <c r="Q107" s="5" t="str">
        <f t="shared" si="30"/>
        <v/>
      </c>
      <c r="R107" s="10">
        <v>2</v>
      </c>
      <c r="AJ107" s="33" t="str">
        <f t="shared" ca="1" si="20"/>
        <v>RCR</v>
      </c>
    </row>
    <row r="108" spans="1:36" ht="12.75">
      <c r="A108" s="6">
        <v>7.15</v>
      </c>
      <c r="B108" s="33"/>
      <c r="C108" s="33" t="s">
        <v>42</v>
      </c>
      <c r="D108" s="74"/>
      <c r="E108" s="75" t="str">
        <f t="shared" si="21"/>
        <v/>
      </c>
      <c r="F108" s="75" t="str">
        <f t="shared" si="22"/>
        <v/>
      </c>
      <c r="G108" s="75" t="str">
        <f t="shared" si="23"/>
        <v/>
      </c>
      <c r="H108" s="75" t="str">
        <f t="shared" si="24"/>
        <v/>
      </c>
      <c r="I108" s="75" t="str">
        <f t="shared" si="25"/>
        <v/>
      </c>
      <c r="J108" s="74" t="str">
        <f t="shared" ca="1" si="26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31"/>
        <v>input starter in column D</v>
      </c>
      <c r="Q108" s="5" t="str">
        <f t="shared" si="30"/>
        <v/>
      </c>
      <c r="R108" s="10">
        <v>3</v>
      </c>
      <c r="AJ108" s="33" t="str">
        <f t="shared" ca="1" si="20"/>
        <v>RCR</v>
      </c>
    </row>
    <row r="109" spans="1:36" ht="12.75">
      <c r="A109" s="6">
        <v>7.16</v>
      </c>
      <c r="B109" s="33" t="s">
        <v>32</v>
      </c>
      <c r="C109" s="33" t="s">
        <v>40</v>
      </c>
      <c r="D109" s="74"/>
      <c r="E109" s="75" t="str">
        <f t="shared" si="21"/>
        <v/>
      </c>
      <c r="F109" s="75" t="str">
        <f t="shared" si="22"/>
        <v/>
      </c>
      <c r="G109" s="75" t="str">
        <f t="shared" si="23"/>
        <v/>
      </c>
      <c r="H109" s="75" t="str">
        <f t="shared" si="24"/>
        <v/>
      </c>
      <c r="I109" s="75" t="str">
        <f t="shared" si="25"/>
        <v/>
      </c>
      <c r="J109" s="74" t="str">
        <f t="shared" ca="1" si="26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31"/>
        <v>input starter in column D</v>
      </c>
      <c r="Q109" s="5" t="str">
        <f t="shared" si="30"/>
        <v/>
      </c>
      <c r="R109" s="10">
        <v>4</v>
      </c>
      <c r="AJ109" s="33" t="str">
        <f t="shared" ca="1" si="20"/>
        <v>RCR</v>
      </c>
    </row>
    <row r="110" spans="1:36" ht="12.75">
      <c r="A110" s="6">
        <v>7.17</v>
      </c>
      <c r="B110" s="33" t="s">
        <v>32</v>
      </c>
      <c r="C110" s="33" t="s">
        <v>40</v>
      </c>
      <c r="D110" s="74"/>
      <c r="E110" s="75" t="str">
        <f t="shared" si="21"/>
        <v/>
      </c>
      <c r="F110" s="75" t="str">
        <f t="shared" si="22"/>
        <v/>
      </c>
      <c r="G110" s="75" t="str">
        <f t="shared" si="23"/>
        <v/>
      </c>
      <c r="H110" s="75" t="str">
        <f t="shared" si="24"/>
        <v/>
      </c>
      <c r="I110" s="75" t="str">
        <f t="shared" si="25"/>
        <v/>
      </c>
      <c r="J110" s="74" t="str">
        <f t="shared" ca="1" si="26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31"/>
        <v>input starter in column D</v>
      </c>
      <c r="Q110" s="5" t="str">
        <f t="shared" si="30"/>
        <v/>
      </c>
      <c r="R110" s="10">
        <v>5</v>
      </c>
      <c r="AJ110" s="33" t="str">
        <f t="shared" ca="1" si="20"/>
        <v>RCR</v>
      </c>
    </row>
    <row r="111" spans="1:36" ht="12.75">
      <c r="A111" s="6">
        <v>7.18</v>
      </c>
      <c r="B111" s="33" t="s">
        <v>32</v>
      </c>
      <c r="C111" s="33" t="s">
        <v>40</v>
      </c>
      <c r="D111" s="74"/>
      <c r="E111" s="75" t="str">
        <f t="shared" si="21"/>
        <v/>
      </c>
      <c r="F111" s="75" t="str">
        <f t="shared" si="22"/>
        <v/>
      </c>
      <c r="G111" s="75" t="str">
        <f t="shared" si="23"/>
        <v/>
      </c>
      <c r="H111" s="75" t="str">
        <f t="shared" si="24"/>
        <v/>
      </c>
      <c r="I111" s="75" t="str">
        <f t="shared" si="25"/>
        <v/>
      </c>
      <c r="J111" s="74" t="str">
        <f t="shared" ca="1" si="26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31"/>
        <v>input starter in column D</v>
      </c>
      <c r="Q111" s="5" t="str">
        <f t="shared" si="30"/>
        <v/>
      </c>
      <c r="R111" s="10">
        <v>1</v>
      </c>
      <c r="AJ111" s="33" t="str">
        <f t="shared" ca="1" si="20"/>
        <v>RCR</v>
      </c>
    </row>
    <row r="112" spans="1:36" ht="12.75">
      <c r="A112" s="6">
        <v>7.19</v>
      </c>
      <c r="B112" s="33" t="s">
        <v>32</v>
      </c>
      <c r="C112" s="33" t="s">
        <v>54</v>
      </c>
      <c r="D112" s="74"/>
      <c r="E112" s="75" t="str">
        <f t="shared" si="21"/>
        <v/>
      </c>
      <c r="F112" s="75" t="str">
        <f t="shared" si="22"/>
        <v/>
      </c>
      <c r="G112" s="75" t="str">
        <f t="shared" si="23"/>
        <v/>
      </c>
      <c r="H112" s="75" t="str">
        <f t="shared" si="24"/>
        <v/>
      </c>
      <c r="I112" s="75" t="str">
        <f t="shared" si="25"/>
        <v/>
      </c>
      <c r="J112" s="74" t="str">
        <f t="shared" ca="1" si="26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31"/>
        <v>input starter in column D</v>
      </c>
      <c r="Q112" s="5" t="str">
        <f t="shared" si="30"/>
        <v/>
      </c>
      <c r="R112" s="10">
        <v>2</v>
      </c>
      <c r="AJ112" s="33" t="str">
        <f t="shared" ca="1" si="20"/>
        <v>RCR</v>
      </c>
    </row>
    <row r="113" spans="1:36" ht="12.75">
      <c r="A113" s="6">
        <v>7.2</v>
      </c>
      <c r="B113" s="33" t="s">
        <v>32</v>
      </c>
      <c r="C113" s="33" t="s">
        <v>54</v>
      </c>
      <c r="D113" s="74"/>
      <c r="E113" s="75" t="str">
        <f t="shared" si="21"/>
        <v/>
      </c>
      <c r="F113" s="75" t="str">
        <f t="shared" si="22"/>
        <v/>
      </c>
      <c r="G113" s="75" t="str">
        <f t="shared" si="23"/>
        <v/>
      </c>
      <c r="H113" s="75" t="str">
        <f t="shared" si="24"/>
        <v/>
      </c>
      <c r="I113" s="75" t="str">
        <f t="shared" si="25"/>
        <v/>
      </c>
      <c r="J113" s="74" t="str">
        <f t="shared" ca="1" si="26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31"/>
        <v>input starter in column D</v>
      </c>
      <c r="Q113" s="5" t="str">
        <f t="shared" si="30"/>
        <v/>
      </c>
      <c r="R113" s="10">
        <v>3</v>
      </c>
      <c r="AJ113" s="33" t="str">
        <f t="shared" ca="1" si="20"/>
        <v>RCR</v>
      </c>
    </row>
    <row r="114" spans="1:36" ht="12.75">
      <c r="A114" s="6">
        <v>7.21</v>
      </c>
      <c r="B114" s="33" t="s">
        <v>32</v>
      </c>
      <c r="C114" s="33" t="s">
        <v>54</v>
      </c>
      <c r="D114" s="74"/>
      <c r="E114" s="75" t="str">
        <f t="shared" si="21"/>
        <v/>
      </c>
      <c r="F114" s="75" t="str">
        <f t="shared" si="22"/>
        <v/>
      </c>
      <c r="G114" s="75" t="str">
        <f t="shared" si="23"/>
        <v/>
      </c>
      <c r="H114" s="75" t="str">
        <f t="shared" si="24"/>
        <v/>
      </c>
      <c r="I114" s="75" t="str">
        <f t="shared" si="25"/>
        <v/>
      </c>
      <c r="J114" s="74" t="str">
        <f t="shared" ca="1" si="26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31"/>
        <v>input starter in column D</v>
      </c>
      <c r="Q114" s="5" t="str">
        <f t="shared" si="30"/>
        <v/>
      </c>
      <c r="R114" s="10">
        <v>4</v>
      </c>
      <c r="AJ114" s="33" t="str">
        <f t="shared" ca="1" si="20"/>
        <v>RCR</v>
      </c>
    </row>
    <row r="115" spans="1:36" ht="12.75">
      <c r="A115" s="6">
        <v>7.22</v>
      </c>
      <c r="B115" s="33" t="s">
        <v>32</v>
      </c>
      <c r="C115" s="33" t="s">
        <v>54</v>
      </c>
      <c r="D115" s="74"/>
      <c r="E115" s="75" t="str">
        <f t="shared" si="21"/>
        <v/>
      </c>
      <c r="F115" s="75" t="str">
        <f t="shared" si="22"/>
        <v/>
      </c>
      <c r="G115" s="75" t="str">
        <f t="shared" si="23"/>
        <v/>
      </c>
      <c r="H115" s="75" t="str">
        <f t="shared" si="24"/>
        <v/>
      </c>
      <c r="I115" s="75" t="str">
        <f t="shared" si="25"/>
        <v/>
      </c>
      <c r="J115" s="74" t="str">
        <f t="shared" ca="1" si="26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31"/>
        <v>input starter in column D</v>
      </c>
      <c r="Q115" s="5" t="str">
        <f t="shared" si="30"/>
        <v/>
      </c>
      <c r="R115" s="10">
        <v>5</v>
      </c>
      <c r="AJ115" s="33" t="str">
        <f t="shared" ca="1" si="20"/>
        <v>RCR</v>
      </c>
    </row>
    <row r="116" spans="1:36" ht="12.75">
      <c r="A116" s="6">
        <v>7.23</v>
      </c>
      <c r="B116" s="33"/>
      <c r="C116" s="33" t="s">
        <v>13</v>
      </c>
      <c r="D116" s="74"/>
      <c r="E116" s="75" t="str">
        <f t="shared" si="21"/>
        <v/>
      </c>
      <c r="F116" s="75" t="str">
        <f t="shared" si="22"/>
        <v/>
      </c>
      <c r="G116" s="75" t="str">
        <f t="shared" si="23"/>
        <v/>
      </c>
      <c r="H116" s="75" t="str">
        <f t="shared" si="24"/>
        <v/>
      </c>
      <c r="I116" s="75" t="str">
        <f t="shared" si="25"/>
        <v/>
      </c>
      <c r="J116" s="74" t="str">
        <f t="shared" ca="1" si="26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31"/>
        <v>input starter in column D</v>
      </c>
      <c r="Q116" s="5" t="str">
        <f t="shared" si="30"/>
        <v/>
      </c>
      <c r="R116" s="10">
        <v>1</v>
      </c>
      <c r="AJ116" s="33" t="str">
        <f t="shared" ca="1" si="20"/>
        <v>RCR</v>
      </c>
    </row>
    <row r="117" spans="1:36" ht="12.75">
      <c r="A117" s="6">
        <v>7.24</v>
      </c>
      <c r="B117" s="33"/>
      <c r="C117" s="33" t="s">
        <v>13</v>
      </c>
      <c r="D117" s="74"/>
      <c r="E117" s="75" t="str">
        <f t="shared" si="21"/>
        <v/>
      </c>
      <c r="F117" s="75" t="str">
        <f t="shared" si="22"/>
        <v/>
      </c>
      <c r="G117" s="75" t="str">
        <f t="shared" si="23"/>
        <v/>
      </c>
      <c r="H117" s="75" t="str">
        <f t="shared" si="24"/>
        <v/>
      </c>
      <c r="I117" s="75" t="str">
        <f t="shared" si="25"/>
        <v/>
      </c>
      <c r="J117" s="74" t="str">
        <f t="shared" ca="1" si="26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31"/>
        <v>input starter in column D</v>
      </c>
      <c r="Q117" s="5" t="str">
        <f t="shared" si="30"/>
        <v/>
      </c>
      <c r="R117" s="10">
        <v>2</v>
      </c>
      <c r="AJ117" s="33" t="str">
        <f t="shared" ca="1" si="20"/>
        <v>RCR</v>
      </c>
    </row>
    <row r="118" spans="1:36" ht="12.75">
      <c r="A118" s="6">
        <v>7.25</v>
      </c>
      <c r="B118" s="33"/>
      <c r="C118" s="33" t="s">
        <v>13</v>
      </c>
      <c r="D118" s="74"/>
      <c r="E118" s="75" t="str">
        <f t="shared" si="21"/>
        <v/>
      </c>
      <c r="F118" s="75" t="str">
        <f t="shared" si="22"/>
        <v/>
      </c>
      <c r="G118" s="75" t="str">
        <f t="shared" si="23"/>
        <v/>
      </c>
      <c r="H118" s="75" t="str">
        <f t="shared" si="24"/>
        <v/>
      </c>
      <c r="I118" s="75" t="str">
        <f t="shared" si="25"/>
        <v/>
      </c>
      <c r="J118" s="74" t="str">
        <f t="shared" ca="1" si="26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31"/>
        <v>input starter in column D</v>
      </c>
      <c r="Q118" s="5" t="str">
        <f t="shared" si="30"/>
        <v/>
      </c>
      <c r="R118" s="10">
        <v>3</v>
      </c>
      <c r="AJ118" s="33" t="str">
        <f t="shared" ca="1" si="20"/>
        <v>RCR</v>
      </c>
    </row>
    <row r="119" spans="1:36" ht="12.75">
      <c r="A119" s="6">
        <v>7.26</v>
      </c>
      <c r="B119" s="33"/>
      <c r="C119" s="33" t="s">
        <v>13</v>
      </c>
      <c r="D119" s="74"/>
      <c r="E119" s="75" t="str">
        <f t="shared" si="21"/>
        <v/>
      </c>
      <c r="F119" s="75" t="str">
        <f t="shared" si="22"/>
        <v/>
      </c>
      <c r="G119" s="75" t="str">
        <f t="shared" si="23"/>
        <v/>
      </c>
      <c r="H119" s="75" t="str">
        <f t="shared" si="24"/>
        <v/>
      </c>
      <c r="I119" s="75" t="str">
        <f t="shared" si="25"/>
        <v/>
      </c>
      <c r="J119" s="74" t="str">
        <f t="shared" ca="1" si="26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31"/>
        <v>input starter in column D</v>
      </c>
      <c r="Q119" s="5" t="str">
        <f t="shared" si="30"/>
        <v/>
      </c>
      <c r="R119" s="10">
        <v>4</v>
      </c>
      <c r="AJ119" s="33" t="str">
        <f t="shared" ca="1" si="20"/>
        <v>RCR</v>
      </c>
    </row>
    <row r="120" spans="1:36" ht="12.75">
      <c r="A120" s="6">
        <v>7.27</v>
      </c>
      <c r="B120" s="33" t="s">
        <v>32</v>
      </c>
      <c r="C120" s="33" t="s">
        <v>12</v>
      </c>
      <c r="D120" s="74"/>
      <c r="E120" s="75" t="str">
        <f t="shared" si="21"/>
        <v/>
      </c>
      <c r="F120" s="75" t="str">
        <f t="shared" si="22"/>
        <v/>
      </c>
      <c r="G120" s="75" t="str">
        <f t="shared" si="23"/>
        <v/>
      </c>
      <c r="H120" s="75" t="str">
        <f t="shared" si="24"/>
        <v/>
      </c>
      <c r="I120" s="75" t="str">
        <f t="shared" si="25"/>
        <v/>
      </c>
      <c r="J120" s="74" t="str">
        <f t="shared" ca="1" si="26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31"/>
        <v>input starter in column D</v>
      </c>
      <c r="Q120" s="5" t="str">
        <f t="shared" si="30"/>
        <v/>
      </c>
      <c r="R120" s="10">
        <v>5</v>
      </c>
      <c r="AJ120" s="33" t="str">
        <f t="shared" ca="1" si="20"/>
        <v>RCR</v>
      </c>
    </row>
    <row r="121" spans="1:36" ht="12.75">
      <c r="A121" s="6">
        <v>7.28</v>
      </c>
      <c r="B121" s="33" t="s">
        <v>32</v>
      </c>
      <c r="C121" s="33" t="s">
        <v>12</v>
      </c>
      <c r="D121" s="74"/>
      <c r="E121" s="75" t="str">
        <f t="shared" si="21"/>
        <v/>
      </c>
      <c r="F121" s="75" t="str">
        <f t="shared" si="22"/>
        <v/>
      </c>
      <c r="G121" s="75" t="str">
        <f t="shared" si="23"/>
        <v/>
      </c>
      <c r="H121" s="75" t="str">
        <f t="shared" si="24"/>
        <v/>
      </c>
      <c r="I121" s="75" t="str">
        <f t="shared" si="25"/>
        <v/>
      </c>
      <c r="J121" s="74" t="str">
        <f t="shared" ca="1" si="26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31"/>
        <v>input starter in column D</v>
      </c>
      <c r="Q121" s="5" t="str">
        <f t="shared" si="30"/>
        <v/>
      </c>
      <c r="R121" s="10">
        <v>1</v>
      </c>
      <c r="AJ121" s="33" t="str">
        <f t="shared" ca="1" si="20"/>
        <v>RCR</v>
      </c>
    </row>
    <row r="122" spans="1:36" ht="12.75">
      <c r="A122" s="6">
        <v>7.29</v>
      </c>
      <c r="B122" s="33" t="s">
        <v>32</v>
      </c>
      <c r="C122" s="33" t="s">
        <v>12</v>
      </c>
      <c r="D122" s="74"/>
      <c r="E122" s="75" t="str">
        <f t="shared" si="21"/>
        <v/>
      </c>
      <c r="F122" s="75" t="str">
        <f t="shared" si="22"/>
        <v/>
      </c>
      <c r="G122" s="75" t="str">
        <f t="shared" si="23"/>
        <v/>
      </c>
      <c r="H122" s="75" t="str">
        <f t="shared" si="24"/>
        <v/>
      </c>
      <c r="I122" s="75" t="str">
        <f t="shared" si="25"/>
        <v/>
      </c>
      <c r="J122" s="74" t="str">
        <f t="shared" ca="1" si="26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31"/>
        <v>input starter in column D</v>
      </c>
      <c r="Q122" s="5" t="str">
        <f t="shared" si="30"/>
        <v/>
      </c>
      <c r="R122" s="10">
        <v>2</v>
      </c>
      <c r="AJ122" s="33" t="str">
        <f t="shared" ca="1" si="20"/>
        <v>RCR</v>
      </c>
    </row>
    <row r="123" spans="1:36" ht="12.75">
      <c r="A123" s="6">
        <v>7.3</v>
      </c>
      <c r="B123" s="33" t="s">
        <v>32</v>
      </c>
      <c r="C123" s="33" t="s">
        <v>12</v>
      </c>
      <c r="D123" s="74"/>
      <c r="E123" s="75" t="str">
        <f t="shared" si="21"/>
        <v/>
      </c>
      <c r="F123" s="75" t="str">
        <f t="shared" si="22"/>
        <v/>
      </c>
      <c r="G123" s="75" t="str">
        <f t="shared" si="23"/>
        <v/>
      </c>
      <c r="H123" s="75" t="str">
        <f t="shared" si="24"/>
        <v/>
      </c>
      <c r="I123" s="75" t="str">
        <f t="shared" si="25"/>
        <v/>
      </c>
      <c r="J123" s="74" t="str">
        <f t="shared" ca="1" si="26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31"/>
        <v>input starter in column D</v>
      </c>
      <c r="Q123" s="5" t="str">
        <f t="shared" si="30"/>
        <v/>
      </c>
      <c r="R123" s="10">
        <v>3</v>
      </c>
      <c r="AJ123" s="33" t="str">
        <f t="shared" ca="1" si="20"/>
        <v>RCR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20"/>
        <v/>
      </c>
    </row>
    <row r="125" spans="1:36" ht="12.75">
      <c r="A125" s="6">
        <v>8.01</v>
      </c>
      <c r="B125" s="33"/>
      <c r="C125" s="33" t="s">
        <v>15</v>
      </c>
      <c r="D125" s="74"/>
      <c r="E125" s="75" t="str">
        <f t="shared" si="21"/>
        <v/>
      </c>
      <c r="F125" s="75" t="str">
        <f t="shared" si="22"/>
        <v/>
      </c>
      <c r="G125" s="75" t="str">
        <f t="shared" si="23"/>
        <v/>
      </c>
      <c r="H125" s="75" t="str">
        <f t="shared" si="24"/>
        <v/>
      </c>
      <c r="I125" s="75" t="str">
        <f t="shared" si="25"/>
        <v/>
      </c>
      <c r="J125" s="74" t="str">
        <f t="shared" ca="1" si="26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32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30"/>
        <v/>
      </c>
      <c r="R125" s="10">
        <v>4</v>
      </c>
      <c r="AJ125" s="33" t="str">
        <f t="shared" ca="1" si="20"/>
        <v>RCR</v>
      </c>
    </row>
    <row r="126" spans="1:36" ht="12.75">
      <c r="A126" s="6">
        <v>8.02</v>
      </c>
      <c r="B126" s="33"/>
      <c r="C126" s="33" t="s">
        <v>15</v>
      </c>
      <c r="D126" s="74"/>
      <c r="E126" s="75" t="str">
        <f t="shared" si="21"/>
        <v/>
      </c>
      <c r="F126" s="75" t="str">
        <f t="shared" si="22"/>
        <v/>
      </c>
      <c r="G126" s="75" t="str">
        <f t="shared" si="23"/>
        <v/>
      </c>
      <c r="H126" s="75" t="str">
        <f t="shared" si="24"/>
        <v/>
      </c>
      <c r="I126" s="75" t="str">
        <f t="shared" si="25"/>
        <v/>
      </c>
      <c r="J126" s="74" t="str">
        <f t="shared" ca="1" si="26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32"/>
        <v>input starter in column D</v>
      </c>
      <c r="Q126" s="5" t="str">
        <f t="shared" si="30"/>
        <v/>
      </c>
      <c r="R126" s="10">
        <v>1</v>
      </c>
      <c r="AJ126" s="33" t="str">
        <f t="shared" ca="1" si="20"/>
        <v>RCR</v>
      </c>
    </row>
    <row r="127" spans="1:36" ht="12.75">
      <c r="A127" s="6">
        <v>8.0299999999999994</v>
      </c>
      <c r="B127" s="33"/>
      <c r="C127" s="33" t="s">
        <v>15</v>
      </c>
      <c r="D127" s="74"/>
      <c r="E127" s="75" t="str">
        <f t="shared" si="21"/>
        <v/>
      </c>
      <c r="F127" s="75" t="str">
        <f t="shared" si="22"/>
        <v/>
      </c>
      <c r="G127" s="75" t="str">
        <f t="shared" si="23"/>
        <v/>
      </c>
      <c r="H127" s="75" t="str">
        <f t="shared" si="24"/>
        <v/>
      </c>
      <c r="I127" s="75" t="str">
        <f t="shared" si="25"/>
        <v/>
      </c>
      <c r="J127" s="74" t="str">
        <f t="shared" ca="1" si="26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32"/>
        <v>input starter in column D</v>
      </c>
      <c r="Q127" s="5" t="str">
        <f t="shared" si="30"/>
        <v/>
      </c>
      <c r="R127" s="10">
        <v>2</v>
      </c>
      <c r="AJ127" s="33" t="str">
        <f t="shared" ca="1" si="20"/>
        <v>RCR</v>
      </c>
    </row>
    <row r="128" spans="1:36" ht="12.75">
      <c r="A128" s="6">
        <v>8.0399999999999991</v>
      </c>
      <c r="B128" s="33"/>
      <c r="C128" s="33" t="s">
        <v>15</v>
      </c>
      <c r="D128" s="74"/>
      <c r="E128" s="75" t="str">
        <f t="shared" si="21"/>
        <v/>
      </c>
      <c r="F128" s="75" t="str">
        <f t="shared" si="22"/>
        <v/>
      </c>
      <c r="G128" s="75" t="str">
        <f t="shared" si="23"/>
        <v/>
      </c>
      <c r="H128" s="75" t="str">
        <f t="shared" si="24"/>
        <v/>
      </c>
      <c r="I128" s="75" t="str">
        <f t="shared" si="25"/>
        <v/>
      </c>
      <c r="J128" s="74" t="str">
        <f t="shared" ca="1" si="26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32"/>
        <v>input starter in column D</v>
      </c>
      <c r="Q128" s="5" t="str">
        <f t="shared" si="30"/>
        <v/>
      </c>
      <c r="R128" s="10">
        <v>3</v>
      </c>
      <c r="AJ128" s="33" t="str">
        <f t="shared" ca="1" si="20"/>
        <v>RCR</v>
      </c>
    </row>
    <row r="129" spans="1:36" ht="12.75">
      <c r="A129" s="6">
        <v>8.0500000000000007</v>
      </c>
      <c r="B129" s="33"/>
      <c r="C129" s="33" t="s">
        <v>1191</v>
      </c>
      <c r="D129" s="74"/>
      <c r="E129" s="75" t="str">
        <f t="shared" si="21"/>
        <v/>
      </c>
      <c r="F129" s="75" t="str">
        <f t="shared" si="22"/>
        <v/>
      </c>
      <c r="G129" s="75" t="str">
        <f t="shared" si="23"/>
        <v/>
      </c>
      <c r="H129" s="75" t="str">
        <f t="shared" si="24"/>
        <v/>
      </c>
      <c r="I129" s="75" t="str">
        <f t="shared" si="25"/>
        <v/>
      </c>
      <c r="J129" s="74" t="str">
        <f t="shared" ca="1" si="26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32"/>
        <v>input starter in column D</v>
      </c>
      <c r="Q129" s="5" t="str">
        <f t="shared" si="30"/>
        <v/>
      </c>
      <c r="R129" s="10">
        <v>5</v>
      </c>
      <c r="AJ129" s="33" t="str">
        <f t="shared" ca="1" si="20"/>
        <v>RCR</v>
      </c>
    </row>
    <row r="130" spans="1:36" ht="12.75">
      <c r="A130" s="6">
        <v>8.06</v>
      </c>
      <c r="B130" s="33"/>
      <c r="C130" s="33" t="s">
        <v>1191</v>
      </c>
      <c r="D130" s="74"/>
      <c r="E130" s="75" t="str">
        <f t="shared" si="21"/>
        <v/>
      </c>
      <c r="F130" s="75" t="str">
        <f t="shared" si="22"/>
        <v/>
      </c>
      <c r="G130" s="75" t="str">
        <f t="shared" si="23"/>
        <v/>
      </c>
      <c r="H130" s="75" t="str">
        <f t="shared" si="24"/>
        <v/>
      </c>
      <c r="I130" s="75" t="str">
        <f t="shared" si="25"/>
        <v/>
      </c>
      <c r="J130" s="74" t="str">
        <f t="shared" ca="1" si="26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32"/>
        <v>input starter in column D</v>
      </c>
      <c r="Q130" s="5" t="str">
        <f t="shared" si="30"/>
        <v/>
      </c>
      <c r="R130" s="10">
        <v>4</v>
      </c>
      <c r="AJ130" s="33" t="str">
        <f t="shared" ca="1" si="20"/>
        <v>RCR</v>
      </c>
    </row>
    <row r="131" spans="1:36" ht="12.75">
      <c r="A131" s="6">
        <v>8.07</v>
      </c>
      <c r="B131" s="33"/>
      <c r="C131" s="33" t="s">
        <v>1191</v>
      </c>
      <c r="D131" s="74"/>
      <c r="E131" s="75" t="str">
        <f t="shared" si="21"/>
        <v/>
      </c>
      <c r="F131" s="75" t="str">
        <f t="shared" si="22"/>
        <v/>
      </c>
      <c r="G131" s="75" t="str">
        <f t="shared" si="23"/>
        <v/>
      </c>
      <c r="H131" s="75" t="str">
        <f t="shared" si="24"/>
        <v/>
      </c>
      <c r="I131" s="75" t="str">
        <f t="shared" si="25"/>
        <v/>
      </c>
      <c r="J131" s="74" t="str">
        <f t="shared" ca="1" si="26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32"/>
        <v>input starter in column D</v>
      </c>
      <c r="Q131" s="5" t="str">
        <f t="shared" si="30"/>
        <v/>
      </c>
      <c r="R131" s="10">
        <v>1</v>
      </c>
      <c r="AJ131" s="33" t="str">
        <f t="shared" ref="AJ131:AJ185" ca="1" si="33">IF(ISERROR((INDIRECT(""&amp;$C131&amp;"!c"&amp;ROW(C131)))),"",(INDIRECT(""&amp;$C131&amp;"!c"&amp;ROW(C131))))</f>
        <v>RCR</v>
      </c>
    </row>
    <row r="132" spans="1:36" ht="12.75">
      <c r="A132" s="6">
        <v>8.08</v>
      </c>
      <c r="B132" s="33"/>
      <c r="C132" s="33" t="s">
        <v>1191</v>
      </c>
      <c r="D132" s="74"/>
      <c r="E132" s="75" t="str">
        <f t="shared" ref="E132:E185" si="34">IF(ISERROR((VLOOKUP($D132,$S$3:$AE$22,3,FALSE))),"",(VLOOKUP($D132,$S$3:$AE$22,3,FALSE)))</f>
        <v/>
      </c>
      <c r="F132" s="75" t="str">
        <f t="shared" ref="F132:F185" si="35">IF(ISERROR((VLOOKUP($D132,$S$3:$AE$22,5,FALSE))),"",(VLOOKUP($D132,$S$3:$AE$22,5,FALSE)))</f>
        <v/>
      </c>
      <c r="G132" s="75" t="str">
        <f t="shared" ref="G132:G185" si="36">IF(ISERROR((VLOOKUP($D132,$S$3:$AE$22,10,FALSE))),"",(VLOOKUP($D132,$S$3:$AE$22,10,FALSE)))</f>
        <v/>
      </c>
      <c r="H132" s="75" t="str">
        <f t="shared" ref="H132:H185" si="37">IF(ISERROR((VLOOKUP($D132,$S$3:$AE$22,11,FALSE))),"",(VLOOKUP($D132,$S$3:$AE$22,11,FALSE)))</f>
        <v/>
      </c>
      <c r="I132" s="75" t="str">
        <f t="shared" ref="I132:I185" si="38">IF(ISERROR((VLOOKUP($D132,$S$3:$AE$22,12,FALSE))),"",(VLOOKUP($D132,$S$3:$AE$22,12,FALSE)))</f>
        <v/>
      </c>
      <c r="J132" s="74" t="str">
        <f t="shared" ref="J132:J185" ca="1" si="39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32"/>
        <v>input starter in column D</v>
      </c>
      <c r="Q132" s="5" t="str">
        <f t="shared" si="30"/>
        <v/>
      </c>
      <c r="R132" s="10">
        <v>2</v>
      </c>
      <c r="AJ132" s="33" t="str">
        <f t="shared" ca="1" si="33"/>
        <v>RCR</v>
      </c>
    </row>
    <row r="133" spans="1:36" ht="12.75">
      <c r="A133" s="6">
        <v>8.09</v>
      </c>
      <c r="B133" s="33"/>
      <c r="C133" s="33" t="s">
        <v>40</v>
      </c>
      <c r="D133" s="74"/>
      <c r="E133" s="75" t="str">
        <f t="shared" si="34"/>
        <v/>
      </c>
      <c r="F133" s="75" t="str">
        <f t="shared" si="35"/>
        <v/>
      </c>
      <c r="G133" s="75" t="str">
        <f t="shared" si="36"/>
        <v/>
      </c>
      <c r="H133" s="75" t="str">
        <f t="shared" si="37"/>
        <v/>
      </c>
      <c r="I133" s="75" t="str">
        <f t="shared" si="38"/>
        <v/>
      </c>
      <c r="J133" s="74" t="str">
        <f t="shared" ca="1" si="39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32"/>
        <v>input starter in column D</v>
      </c>
      <c r="Q133" s="5" t="str">
        <f t="shared" si="30"/>
        <v/>
      </c>
      <c r="R133" s="10">
        <v>3</v>
      </c>
      <c r="AJ133" s="33" t="str">
        <f t="shared" ca="1" si="33"/>
        <v>RCR</v>
      </c>
    </row>
    <row r="134" spans="1:36" ht="12.75">
      <c r="A134" s="6">
        <v>8.1</v>
      </c>
      <c r="B134" s="33"/>
      <c r="C134" s="33" t="s">
        <v>40</v>
      </c>
      <c r="D134" s="74"/>
      <c r="E134" s="75" t="str">
        <f t="shared" si="34"/>
        <v/>
      </c>
      <c r="F134" s="75" t="str">
        <f t="shared" si="35"/>
        <v/>
      </c>
      <c r="G134" s="75" t="str">
        <f t="shared" si="36"/>
        <v/>
      </c>
      <c r="H134" s="75" t="str">
        <f t="shared" si="37"/>
        <v/>
      </c>
      <c r="I134" s="75" t="str">
        <f t="shared" si="38"/>
        <v/>
      </c>
      <c r="J134" s="74" t="str">
        <f t="shared" ca="1" si="39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32"/>
        <v>input starter in column D</v>
      </c>
      <c r="Q134" s="5" t="str">
        <f t="shared" si="30"/>
        <v/>
      </c>
      <c r="R134" s="10">
        <v>5</v>
      </c>
      <c r="AJ134" s="33" t="str">
        <f t="shared" ca="1" si="33"/>
        <v>RCR</v>
      </c>
    </row>
    <row r="135" spans="1:36" ht="12.75">
      <c r="A135" s="6">
        <v>8.11</v>
      </c>
      <c r="B135" s="33"/>
      <c r="C135" s="33" t="s">
        <v>40</v>
      </c>
      <c r="D135" s="74"/>
      <c r="E135" s="75" t="str">
        <f t="shared" si="34"/>
        <v/>
      </c>
      <c r="F135" s="75" t="str">
        <f t="shared" si="35"/>
        <v/>
      </c>
      <c r="G135" s="75" t="str">
        <f t="shared" si="36"/>
        <v/>
      </c>
      <c r="H135" s="75" t="str">
        <f t="shared" si="37"/>
        <v/>
      </c>
      <c r="I135" s="75" t="str">
        <f t="shared" si="38"/>
        <v/>
      </c>
      <c r="J135" s="74" t="str">
        <f t="shared" ca="1" si="39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32"/>
        <v>input starter in column D</v>
      </c>
      <c r="Q135" s="5" t="str">
        <f t="shared" si="30"/>
        <v/>
      </c>
      <c r="R135" s="10">
        <v>4</v>
      </c>
      <c r="AJ135" s="33" t="str">
        <f t="shared" ca="1" si="33"/>
        <v>RCR</v>
      </c>
    </row>
    <row r="136" spans="1:36" ht="12.75">
      <c r="A136" s="6">
        <v>8.1199999999999992</v>
      </c>
      <c r="B136" s="33"/>
      <c r="C136" s="33" t="s">
        <v>40</v>
      </c>
      <c r="D136" s="74"/>
      <c r="E136" s="75" t="str">
        <f t="shared" si="34"/>
        <v/>
      </c>
      <c r="F136" s="75" t="str">
        <f t="shared" si="35"/>
        <v/>
      </c>
      <c r="G136" s="75" t="str">
        <f t="shared" si="36"/>
        <v/>
      </c>
      <c r="H136" s="75" t="str">
        <f t="shared" si="37"/>
        <v/>
      </c>
      <c r="I136" s="75" t="str">
        <f t="shared" si="38"/>
        <v/>
      </c>
      <c r="J136" s="74" t="str">
        <f t="shared" ca="1" si="39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32"/>
        <v>input starter in column D</v>
      </c>
      <c r="Q136" s="5" t="str">
        <f t="shared" si="30"/>
        <v/>
      </c>
      <c r="R136" s="10">
        <v>1</v>
      </c>
      <c r="AJ136" s="33" t="str">
        <f t="shared" ca="1" si="33"/>
        <v>RCR</v>
      </c>
    </row>
    <row r="137" spans="1:36" ht="12.75">
      <c r="A137" s="6">
        <v>8.1300000000000008</v>
      </c>
      <c r="B137" s="33" t="s">
        <v>32</v>
      </c>
      <c r="C137" s="33" t="s">
        <v>39</v>
      </c>
      <c r="D137" s="74"/>
      <c r="E137" s="75" t="str">
        <f t="shared" si="34"/>
        <v/>
      </c>
      <c r="F137" s="75" t="str">
        <f t="shared" si="35"/>
        <v/>
      </c>
      <c r="G137" s="75" t="str">
        <f t="shared" si="36"/>
        <v/>
      </c>
      <c r="H137" s="75" t="str">
        <f t="shared" si="37"/>
        <v/>
      </c>
      <c r="I137" s="75" t="str">
        <f t="shared" si="38"/>
        <v/>
      </c>
      <c r="J137" s="74" t="str">
        <f t="shared" ca="1" si="39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32"/>
        <v>input starter in column D</v>
      </c>
      <c r="Q137" s="5" t="str">
        <f t="shared" si="30"/>
        <v/>
      </c>
      <c r="R137" s="10">
        <v>2</v>
      </c>
      <c r="AJ137" s="33" t="str">
        <f t="shared" ca="1" si="33"/>
        <v>RCR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3"/>
        <v/>
      </c>
    </row>
    <row r="139" spans="1:36" ht="12.75">
      <c r="A139" s="6">
        <v>8.15</v>
      </c>
      <c r="B139" s="33" t="s">
        <v>32</v>
      </c>
      <c r="C139" s="33" t="s">
        <v>39</v>
      </c>
      <c r="D139" s="74"/>
      <c r="E139" s="75" t="str">
        <f t="shared" si="34"/>
        <v/>
      </c>
      <c r="F139" s="75" t="str">
        <f t="shared" si="35"/>
        <v/>
      </c>
      <c r="G139" s="75" t="str">
        <f t="shared" si="36"/>
        <v/>
      </c>
      <c r="H139" s="75" t="str">
        <f t="shared" si="37"/>
        <v/>
      </c>
      <c r="I139" s="75" t="str">
        <f t="shared" si="38"/>
        <v/>
      </c>
      <c r="J139" s="74" t="str">
        <f t="shared" ca="1" si="39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40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30"/>
        <v/>
      </c>
      <c r="R139" s="10">
        <v>3</v>
      </c>
      <c r="AJ139" s="33" t="str">
        <f t="shared" ca="1" si="33"/>
        <v>RCR</v>
      </c>
    </row>
    <row r="140" spans="1:36" ht="12.75">
      <c r="A140" s="6">
        <v>8.16</v>
      </c>
      <c r="B140" s="33" t="s">
        <v>32</v>
      </c>
      <c r="C140" s="33" t="s">
        <v>39</v>
      </c>
      <c r="D140" s="74"/>
      <c r="E140" s="75" t="str">
        <f t="shared" si="34"/>
        <v/>
      </c>
      <c r="F140" s="75" t="str">
        <f t="shared" si="35"/>
        <v/>
      </c>
      <c r="G140" s="75" t="str">
        <f t="shared" si="36"/>
        <v/>
      </c>
      <c r="H140" s="75" t="str">
        <f t="shared" si="37"/>
        <v/>
      </c>
      <c r="I140" s="75" t="str">
        <f t="shared" si="38"/>
        <v/>
      </c>
      <c r="J140" s="74" t="str">
        <f t="shared" ca="1" si="39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40"/>
        <v>input starter in column D</v>
      </c>
      <c r="Q140" s="5" t="str">
        <f t="shared" si="30"/>
        <v/>
      </c>
      <c r="R140" s="10">
        <v>4</v>
      </c>
      <c r="AJ140" s="33" t="str">
        <f t="shared" ca="1" si="33"/>
        <v>RCR</v>
      </c>
    </row>
    <row r="141" spans="1:36" ht="12.75">
      <c r="A141" s="6">
        <v>8.17</v>
      </c>
      <c r="B141" s="33" t="s">
        <v>32</v>
      </c>
      <c r="C141" s="33" t="s">
        <v>39</v>
      </c>
      <c r="D141" s="74"/>
      <c r="E141" s="75" t="str">
        <f t="shared" si="34"/>
        <v/>
      </c>
      <c r="F141" s="75" t="str">
        <f t="shared" si="35"/>
        <v/>
      </c>
      <c r="G141" s="75" t="str">
        <f t="shared" si="36"/>
        <v/>
      </c>
      <c r="H141" s="75" t="str">
        <f t="shared" si="37"/>
        <v/>
      </c>
      <c r="I141" s="75" t="str">
        <f t="shared" si="38"/>
        <v/>
      </c>
      <c r="J141" s="74" t="str">
        <f t="shared" ca="1" si="39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40"/>
        <v>input starter in column D</v>
      </c>
      <c r="Q141" s="5" t="str">
        <f t="shared" si="30"/>
        <v/>
      </c>
      <c r="R141" s="10">
        <v>1</v>
      </c>
      <c r="AJ141" s="33" t="str">
        <f t="shared" ca="1" si="33"/>
        <v>RCR</v>
      </c>
    </row>
    <row r="142" spans="1:36" ht="12.75">
      <c r="A142" s="6">
        <v>8.18</v>
      </c>
      <c r="B142" s="33" t="s">
        <v>32</v>
      </c>
      <c r="C142" s="33" t="s">
        <v>14</v>
      </c>
      <c r="D142" s="74"/>
      <c r="E142" s="75" t="str">
        <f t="shared" si="34"/>
        <v/>
      </c>
      <c r="F142" s="75" t="str">
        <f t="shared" si="35"/>
        <v/>
      </c>
      <c r="G142" s="75" t="str">
        <f t="shared" si="36"/>
        <v/>
      </c>
      <c r="H142" s="75" t="str">
        <f t="shared" si="37"/>
        <v/>
      </c>
      <c r="I142" s="75" t="str">
        <f t="shared" si="38"/>
        <v/>
      </c>
      <c r="J142" s="74" t="str">
        <f t="shared" ca="1" si="39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40"/>
        <v>input starter in column D</v>
      </c>
      <c r="Q142" s="5" t="str">
        <f t="shared" si="30"/>
        <v/>
      </c>
      <c r="R142" s="10">
        <v>2</v>
      </c>
      <c r="AJ142" s="33" t="str">
        <f t="shared" ca="1" si="33"/>
        <v>RCR</v>
      </c>
    </row>
    <row r="143" spans="1:36" ht="12.75">
      <c r="A143" s="6">
        <v>8.19</v>
      </c>
      <c r="B143" s="33" t="s">
        <v>32</v>
      </c>
      <c r="C143" s="33" t="s">
        <v>14</v>
      </c>
      <c r="D143" s="74"/>
      <c r="E143" s="75" t="str">
        <f t="shared" si="34"/>
        <v/>
      </c>
      <c r="F143" s="75" t="str">
        <f t="shared" si="35"/>
        <v/>
      </c>
      <c r="G143" s="75" t="str">
        <f t="shared" si="36"/>
        <v/>
      </c>
      <c r="H143" s="75" t="str">
        <f t="shared" si="37"/>
        <v/>
      </c>
      <c r="I143" s="75" t="str">
        <f t="shared" si="38"/>
        <v/>
      </c>
      <c r="J143" s="74" t="str">
        <f t="shared" ca="1" si="39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40"/>
        <v>input starter in column D</v>
      </c>
      <c r="Q143" s="5" t="str">
        <f t="shared" si="30"/>
        <v/>
      </c>
      <c r="R143" s="10">
        <v>5</v>
      </c>
      <c r="AJ143" s="33" t="str">
        <f t="shared" ca="1" si="33"/>
        <v>RCR</v>
      </c>
    </row>
    <row r="144" spans="1:36" ht="12.75">
      <c r="A144" s="6">
        <v>8.1999999999999993</v>
      </c>
      <c r="B144" s="33" t="s">
        <v>32</v>
      </c>
      <c r="C144" s="33" t="s">
        <v>14</v>
      </c>
      <c r="D144" s="74"/>
      <c r="E144" s="75" t="str">
        <f t="shared" si="34"/>
        <v/>
      </c>
      <c r="F144" s="75" t="str">
        <f t="shared" si="35"/>
        <v/>
      </c>
      <c r="G144" s="75" t="str">
        <f t="shared" si="36"/>
        <v/>
      </c>
      <c r="H144" s="75" t="str">
        <f t="shared" si="37"/>
        <v/>
      </c>
      <c r="I144" s="75" t="str">
        <f t="shared" si="38"/>
        <v/>
      </c>
      <c r="J144" s="74" t="str">
        <f t="shared" ca="1" si="39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40"/>
        <v>input starter in column D</v>
      </c>
      <c r="Q144" s="5" t="str">
        <f t="shared" si="30"/>
        <v/>
      </c>
      <c r="R144" s="10">
        <v>3</v>
      </c>
      <c r="AJ144" s="33" t="str">
        <f t="shared" ca="1" si="33"/>
        <v>RCR</v>
      </c>
    </row>
    <row r="145" spans="1:36" ht="12.75">
      <c r="A145" s="6">
        <v>8.2100000000000009</v>
      </c>
      <c r="B145" s="33" t="s">
        <v>32</v>
      </c>
      <c r="C145" s="33" t="s">
        <v>42</v>
      </c>
      <c r="D145" s="74"/>
      <c r="E145" s="75" t="str">
        <f t="shared" si="34"/>
        <v/>
      </c>
      <c r="F145" s="75" t="str">
        <f t="shared" si="35"/>
        <v/>
      </c>
      <c r="G145" s="75" t="str">
        <f t="shared" si="36"/>
        <v/>
      </c>
      <c r="H145" s="75" t="str">
        <f t="shared" si="37"/>
        <v/>
      </c>
      <c r="I145" s="75" t="str">
        <f t="shared" si="38"/>
        <v/>
      </c>
      <c r="J145" s="74" t="str">
        <f t="shared" ca="1" si="39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40"/>
        <v>input starter in column D</v>
      </c>
      <c r="Q145" s="5" t="str">
        <f t="shared" si="30"/>
        <v/>
      </c>
      <c r="R145" s="10">
        <v>4</v>
      </c>
      <c r="AJ145" s="33" t="str">
        <f t="shared" ca="1" si="33"/>
        <v>RCR</v>
      </c>
    </row>
    <row r="146" spans="1:36" ht="12.75">
      <c r="A146" s="6">
        <v>8.2200000000000006</v>
      </c>
      <c r="B146" s="33" t="s">
        <v>32</v>
      </c>
      <c r="C146" s="33" t="s">
        <v>42</v>
      </c>
      <c r="D146" s="74"/>
      <c r="E146" s="75" t="str">
        <f t="shared" si="34"/>
        <v/>
      </c>
      <c r="F146" s="75" t="str">
        <f t="shared" si="35"/>
        <v/>
      </c>
      <c r="G146" s="75" t="str">
        <f t="shared" si="36"/>
        <v/>
      </c>
      <c r="H146" s="75" t="str">
        <f t="shared" si="37"/>
        <v/>
      </c>
      <c r="I146" s="75" t="str">
        <f t="shared" si="38"/>
        <v/>
      </c>
      <c r="J146" s="74" t="str">
        <f t="shared" ca="1" si="39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40"/>
        <v>input starter in column D</v>
      </c>
      <c r="Q146" s="5" t="str">
        <f t="shared" si="30"/>
        <v/>
      </c>
      <c r="R146" s="10">
        <v>1</v>
      </c>
      <c r="AJ146" s="33" t="str">
        <f t="shared" ca="1" si="33"/>
        <v>RCR</v>
      </c>
    </row>
    <row r="147" spans="1:36" ht="12.75">
      <c r="A147" s="6">
        <v>8.23</v>
      </c>
      <c r="B147" s="33" t="s">
        <v>32</v>
      </c>
      <c r="C147" s="33" t="s">
        <v>42</v>
      </c>
      <c r="D147" s="74"/>
      <c r="E147" s="75" t="str">
        <f t="shared" si="34"/>
        <v/>
      </c>
      <c r="F147" s="75" t="str">
        <f t="shared" si="35"/>
        <v/>
      </c>
      <c r="G147" s="75" t="str">
        <f t="shared" si="36"/>
        <v/>
      </c>
      <c r="H147" s="75" t="str">
        <f t="shared" si="37"/>
        <v/>
      </c>
      <c r="I147" s="75" t="str">
        <f t="shared" si="38"/>
        <v/>
      </c>
      <c r="J147" s="74" t="str">
        <f t="shared" ca="1" si="39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40"/>
        <v>input starter in column D</v>
      </c>
      <c r="Q147" s="5" t="str">
        <f t="shared" si="30"/>
        <v/>
      </c>
      <c r="R147" s="14">
        <v>2</v>
      </c>
      <c r="AJ147" s="33" t="str">
        <f t="shared" ca="1" si="33"/>
        <v>RCR</v>
      </c>
    </row>
    <row r="148" spans="1:36" ht="12.75">
      <c r="A148" s="6">
        <v>8.24</v>
      </c>
      <c r="B148" s="33" t="s">
        <v>32</v>
      </c>
      <c r="C148" s="33" t="s">
        <v>42</v>
      </c>
      <c r="D148" s="74"/>
      <c r="E148" s="75" t="str">
        <f t="shared" si="34"/>
        <v/>
      </c>
      <c r="F148" s="75" t="str">
        <f t="shared" si="35"/>
        <v/>
      </c>
      <c r="G148" s="75" t="str">
        <f t="shared" si="36"/>
        <v/>
      </c>
      <c r="H148" s="75" t="str">
        <f t="shared" si="37"/>
        <v/>
      </c>
      <c r="I148" s="75" t="str">
        <f t="shared" si="38"/>
        <v/>
      </c>
      <c r="J148" s="74" t="str">
        <f t="shared" ca="1" si="39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40"/>
        <v>input starter in column D</v>
      </c>
      <c r="Q148" s="5" t="str">
        <f t="shared" si="30"/>
        <v/>
      </c>
      <c r="R148" s="14">
        <v>5</v>
      </c>
      <c r="AJ148" s="33" t="str">
        <f t="shared" ca="1" si="33"/>
        <v>RCR</v>
      </c>
    </row>
    <row r="149" spans="1:36" ht="12.75">
      <c r="A149" s="6">
        <v>8.25</v>
      </c>
      <c r="B149" s="33" t="s">
        <v>32</v>
      </c>
      <c r="C149" s="33" t="s">
        <v>35</v>
      </c>
      <c r="D149" s="74"/>
      <c r="E149" s="75" t="str">
        <f t="shared" si="34"/>
        <v/>
      </c>
      <c r="F149" s="75" t="str">
        <f t="shared" si="35"/>
        <v/>
      </c>
      <c r="G149" s="75" t="str">
        <f t="shared" si="36"/>
        <v/>
      </c>
      <c r="H149" s="75" t="str">
        <f t="shared" si="37"/>
        <v/>
      </c>
      <c r="I149" s="75" t="str">
        <f t="shared" si="38"/>
        <v/>
      </c>
      <c r="J149" s="74" t="str">
        <f t="shared" ca="1" si="39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40"/>
        <v>input starter in column D</v>
      </c>
      <c r="Q149" s="5" t="str">
        <f t="shared" si="30"/>
        <v/>
      </c>
      <c r="R149" s="14">
        <v>3</v>
      </c>
      <c r="AJ149" s="33" t="str">
        <f t="shared" ca="1" si="33"/>
        <v>RCR</v>
      </c>
    </row>
    <row r="150" spans="1:36" ht="12.75">
      <c r="A150" s="6">
        <v>8.26</v>
      </c>
      <c r="B150" s="33" t="s">
        <v>32</v>
      </c>
      <c r="C150" s="33" t="s">
        <v>35</v>
      </c>
      <c r="D150" s="74"/>
      <c r="E150" s="75" t="str">
        <f t="shared" si="34"/>
        <v/>
      </c>
      <c r="F150" s="75" t="str">
        <f t="shared" si="35"/>
        <v/>
      </c>
      <c r="G150" s="75" t="str">
        <f t="shared" si="36"/>
        <v/>
      </c>
      <c r="H150" s="75" t="str">
        <f t="shared" si="37"/>
        <v/>
      </c>
      <c r="I150" s="75" t="str">
        <f t="shared" si="38"/>
        <v/>
      </c>
      <c r="J150" s="74" t="str">
        <f t="shared" ca="1" si="39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40"/>
        <v>input starter in column D</v>
      </c>
      <c r="Q150" s="5" t="str">
        <f t="shared" si="30"/>
        <v/>
      </c>
      <c r="R150" s="14">
        <v>4</v>
      </c>
      <c r="AJ150" s="33" t="str">
        <f t="shared" ca="1" si="33"/>
        <v>RCR</v>
      </c>
    </row>
    <row r="151" spans="1:36" ht="12.75">
      <c r="A151" s="6">
        <v>8.27</v>
      </c>
      <c r="B151" s="33" t="s">
        <v>32</v>
      </c>
      <c r="C151" s="33" t="s">
        <v>35</v>
      </c>
      <c r="D151" s="74"/>
      <c r="E151" s="75" t="str">
        <f t="shared" si="34"/>
        <v/>
      </c>
      <c r="F151" s="75" t="str">
        <f t="shared" si="35"/>
        <v/>
      </c>
      <c r="G151" s="75" t="str">
        <f t="shared" si="36"/>
        <v/>
      </c>
      <c r="H151" s="75" t="str">
        <f t="shared" si="37"/>
        <v/>
      </c>
      <c r="I151" s="75" t="str">
        <f t="shared" si="38"/>
        <v/>
      </c>
      <c r="J151" s="74" t="str">
        <f t="shared" ca="1" si="39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40"/>
        <v>input starter in column D</v>
      </c>
      <c r="Q151" s="5" t="str">
        <f t="shared" si="30"/>
        <v/>
      </c>
      <c r="R151" s="14">
        <v>1</v>
      </c>
      <c r="AJ151" s="33" t="str">
        <f t="shared" ca="1" si="33"/>
        <v>RCR</v>
      </c>
    </row>
    <row r="152" spans="1:36" ht="12.75">
      <c r="A152" s="6">
        <v>8.2799999999999994</v>
      </c>
      <c r="B152" s="33" t="s">
        <v>32</v>
      </c>
      <c r="C152" s="33" t="s">
        <v>35</v>
      </c>
      <c r="D152" s="74"/>
      <c r="E152" s="75" t="str">
        <f t="shared" si="34"/>
        <v/>
      </c>
      <c r="F152" s="75" t="str">
        <f t="shared" si="35"/>
        <v/>
      </c>
      <c r="G152" s="75" t="str">
        <f t="shared" si="36"/>
        <v/>
      </c>
      <c r="H152" s="75" t="str">
        <f t="shared" si="37"/>
        <v/>
      </c>
      <c r="I152" s="75" t="str">
        <f t="shared" si="38"/>
        <v/>
      </c>
      <c r="J152" s="74" t="str">
        <f t="shared" ca="1" si="39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40"/>
        <v>input starter in column D</v>
      </c>
      <c r="Q152" s="5" t="str">
        <f t="shared" si="30"/>
        <v/>
      </c>
      <c r="R152" s="14">
        <v>2</v>
      </c>
      <c r="AJ152" s="33" t="str">
        <f t="shared" ca="1" si="33"/>
        <v>RCR</v>
      </c>
    </row>
    <row r="153" spans="1:36" ht="12.75">
      <c r="A153" s="6">
        <v>8.2899999999999991</v>
      </c>
      <c r="B153" s="33"/>
      <c r="C153" s="33" t="s">
        <v>56</v>
      </c>
      <c r="D153" s="74"/>
      <c r="E153" s="75" t="str">
        <f t="shared" si="34"/>
        <v/>
      </c>
      <c r="F153" s="75" t="str">
        <f t="shared" si="35"/>
        <v/>
      </c>
      <c r="G153" s="75" t="str">
        <f t="shared" si="36"/>
        <v/>
      </c>
      <c r="H153" s="75" t="str">
        <f t="shared" si="37"/>
        <v/>
      </c>
      <c r="I153" s="75" t="str">
        <f t="shared" si="38"/>
        <v/>
      </c>
      <c r="J153" s="74" t="str">
        <f t="shared" ca="1" si="39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40"/>
        <v>input starter in column D</v>
      </c>
      <c r="Q153" s="5" t="str">
        <f t="shared" si="30"/>
        <v/>
      </c>
      <c r="R153" s="14">
        <v>5</v>
      </c>
      <c r="AJ153" s="33" t="str">
        <f t="shared" ca="1" si="33"/>
        <v>RCR</v>
      </c>
    </row>
    <row r="154" spans="1:36" ht="12.75">
      <c r="A154" s="6">
        <v>8.3000000000000007</v>
      </c>
      <c r="B154" s="33"/>
      <c r="C154" s="33" t="s">
        <v>56</v>
      </c>
      <c r="D154" s="74"/>
      <c r="E154" s="75" t="str">
        <f t="shared" si="34"/>
        <v/>
      </c>
      <c r="F154" s="75" t="str">
        <f t="shared" si="35"/>
        <v/>
      </c>
      <c r="G154" s="75" t="str">
        <f t="shared" si="36"/>
        <v/>
      </c>
      <c r="H154" s="75" t="str">
        <f t="shared" si="37"/>
        <v/>
      </c>
      <c r="I154" s="75" t="str">
        <f t="shared" si="38"/>
        <v/>
      </c>
      <c r="J154" s="74" t="str">
        <f t="shared" ca="1" si="39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40"/>
        <v>input starter in column D</v>
      </c>
      <c r="Q154" s="5" t="str">
        <f t="shared" si="30"/>
        <v/>
      </c>
      <c r="R154" s="14">
        <v>3</v>
      </c>
      <c r="AJ154" s="33" t="str">
        <f t="shared" ca="1" si="33"/>
        <v>RCR</v>
      </c>
    </row>
    <row r="155" spans="1:36" ht="12.75">
      <c r="A155" s="6">
        <v>8.31</v>
      </c>
      <c r="B155" s="33"/>
      <c r="C155" s="33" t="s">
        <v>56</v>
      </c>
      <c r="D155" s="74"/>
      <c r="E155" s="75" t="str">
        <f t="shared" si="34"/>
        <v/>
      </c>
      <c r="F155" s="75" t="str">
        <f t="shared" si="35"/>
        <v/>
      </c>
      <c r="G155" s="75" t="str">
        <f t="shared" si="36"/>
        <v/>
      </c>
      <c r="H155" s="75" t="str">
        <f t="shared" si="37"/>
        <v/>
      </c>
      <c r="I155" s="75" t="str">
        <f t="shared" si="38"/>
        <v/>
      </c>
      <c r="J155" s="74" t="str">
        <f t="shared" ca="1" si="39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40"/>
        <v>input starter in column D</v>
      </c>
      <c r="Q155" s="5" t="str">
        <f t="shared" si="30"/>
        <v/>
      </c>
      <c r="R155" s="14">
        <v>4</v>
      </c>
      <c r="AJ155" s="33" t="str">
        <f t="shared" ca="1" si="33"/>
        <v>RCR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3"/>
        <v/>
      </c>
    </row>
    <row r="157" spans="1:36" ht="12.75">
      <c r="A157" s="6">
        <v>9.02</v>
      </c>
      <c r="B157" s="33"/>
      <c r="C157" s="33" t="s">
        <v>53</v>
      </c>
      <c r="D157" s="74"/>
      <c r="E157" s="75" t="str">
        <f t="shared" si="34"/>
        <v/>
      </c>
      <c r="F157" s="75" t="str">
        <f t="shared" si="35"/>
        <v/>
      </c>
      <c r="G157" s="75" t="str">
        <f t="shared" si="36"/>
        <v/>
      </c>
      <c r="H157" s="75" t="str">
        <f t="shared" si="37"/>
        <v/>
      </c>
      <c r="I157" s="75" t="str">
        <f t="shared" si="38"/>
        <v/>
      </c>
      <c r="J157" s="74" t="str">
        <f t="shared" ca="1" si="39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41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30"/>
        <v/>
      </c>
      <c r="R157" s="10">
        <v>1</v>
      </c>
      <c r="AJ157" s="33" t="str">
        <f t="shared" ca="1" si="33"/>
        <v>RCR</v>
      </c>
    </row>
    <row r="158" spans="1:36" ht="12.75">
      <c r="A158" s="6">
        <v>9.0299999999999994</v>
      </c>
      <c r="B158" s="33"/>
      <c r="C158" s="33" t="s">
        <v>53</v>
      </c>
      <c r="D158" s="74"/>
      <c r="E158" s="75" t="str">
        <f t="shared" si="34"/>
        <v/>
      </c>
      <c r="F158" s="75" t="str">
        <f t="shared" si="35"/>
        <v/>
      </c>
      <c r="G158" s="75" t="str">
        <f t="shared" si="36"/>
        <v/>
      </c>
      <c r="H158" s="75" t="str">
        <f t="shared" si="37"/>
        <v/>
      </c>
      <c r="I158" s="75" t="str">
        <f t="shared" si="38"/>
        <v/>
      </c>
      <c r="J158" s="74" t="str">
        <f t="shared" ca="1" si="39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41"/>
        <v>input starter in column D</v>
      </c>
      <c r="Q158" s="5" t="str">
        <f t="shared" si="30"/>
        <v/>
      </c>
      <c r="R158" s="10">
        <v>2</v>
      </c>
      <c r="AJ158" s="33" t="str">
        <f t="shared" ca="1" si="33"/>
        <v>RCR</v>
      </c>
    </row>
    <row r="159" spans="1:36" ht="12.75">
      <c r="A159" s="6">
        <v>9.0399999999999991</v>
      </c>
      <c r="B159" s="33"/>
      <c r="C159" s="33" t="s">
        <v>53</v>
      </c>
      <c r="D159" s="74"/>
      <c r="E159" s="75" t="str">
        <f t="shared" si="34"/>
        <v/>
      </c>
      <c r="F159" s="75" t="str">
        <f t="shared" si="35"/>
        <v/>
      </c>
      <c r="G159" s="75" t="str">
        <f t="shared" si="36"/>
        <v/>
      </c>
      <c r="H159" s="75" t="str">
        <f t="shared" si="37"/>
        <v/>
      </c>
      <c r="I159" s="75" t="str">
        <f t="shared" si="38"/>
        <v/>
      </c>
      <c r="J159" s="74" t="str">
        <f t="shared" ca="1" si="39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41"/>
        <v>input starter in column D</v>
      </c>
      <c r="Q159" s="5" t="str">
        <f t="shared" si="30"/>
        <v/>
      </c>
      <c r="R159" s="10">
        <v>3</v>
      </c>
      <c r="AJ159" s="33" t="str">
        <f t="shared" ca="1" si="33"/>
        <v>RCR</v>
      </c>
    </row>
    <row r="160" spans="1:36" ht="12.75">
      <c r="A160" s="6">
        <v>9.0500000000000007</v>
      </c>
      <c r="B160" s="33" t="s">
        <v>32</v>
      </c>
      <c r="C160" s="33" t="s">
        <v>41</v>
      </c>
      <c r="D160" s="74"/>
      <c r="E160" s="75" t="str">
        <f t="shared" si="34"/>
        <v/>
      </c>
      <c r="F160" s="75" t="str">
        <f t="shared" si="35"/>
        <v/>
      </c>
      <c r="G160" s="75" t="str">
        <f t="shared" si="36"/>
        <v/>
      </c>
      <c r="H160" s="75" t="str">
        <f t="shared" si="37"/>
        <v/>
      </c>
      <c r="I160" s="75" t="str">
        <f t="shared" si="38"/>
        <v/>
      </c>
      <c r="J160" s="74" t="str">
        <f t="shared" ca="1" si="39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41"/>
        <v>input starter in column D</v>
      </c>
      <c r="Q160" s="5" t="str">
        <f t="shared" si="30"/>
        <v/>
      </c>
      <c r="R160" s="10">
        <v>4</v>
      </c>
      <c r="AJ160" s="33" t="str">
        <f t="shared" ca="1" si="33"/>
        <v>RCR</v>
      </c>
    </row>
    <row r="161" spans="1:36" ht="12.75">
      <c r="A161" s="6">
        <v>9.06</v>
      </c>
      <c r="B161" s="33" t="s">
        <v>32</v>
      </c>
      <c r="C161" s="33" t="s">
        <v>41</v>
      </c>
      <c r="D161" s="74"/>
      <c r="E161" s="75" t="str">
        <f t="shared" si="34"/>
        <v/>
      </c>
      <c r="F161" s="75" t="str">
        <f t="shared" si="35"/>
        <v/>
      </c>
      <c r="G161" s="75" t="str">
        <f t="shared" si="36"/>
        <v/>
      </c>
      <c r="H161" s="75" t="str">
        <f t="shared" si="37"/>
        <v/>
      </c>
      <c r="I161" s="75" t="str">
        <f t="shared" si="38"/>
        <v/>
      </c>
      <c r="J161" s="74" t="str">
        <f t="shared" ca="1" si="39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41"/>
        <v>input starter in column D</v>
      </c>
      <c r="Q161" s="5" t="str">
        <f t="shared" ref="Q161:Q185" si="42">IF(P161="not enough rest","input a DIFFERENT starter in column C","")</f>
        <v/>
      </c>
      <c r="R161" s="10">
        <v>5</v>
      </c>
      <c r="AJ161" s="33" t="str">
        <f t="shared" ca="1" si="33"/>
        <v>RCR</v>
      </c>
    </row>
    <row r="162" spans="1:36" ht="12.75">
      <c r="A162" s="6">
        <v>9.07</v>
      </c>
      <c r="B162" s="33" t="s">
        <v>32</v>
      </c>
      <c r="C162" s="33" t="s">
        <v>41</v>
      </c>
      <c r="D162" s="74"/>
      <c r="E162" s="75" t="str">
        <f t="shared" si="34"/>
        <v/>
      </c>
      <c r="F162" s="75" t="str">
        <f t="shared" si="35"/>
        <v/>
      </c>
      <c r="G162" s="75" t="str">
        <f t="shared" si="36"/>
        <v/>
      </c>
      <c r="H162" s="75" t="str">
        <f t="shared" si="37"/>
        <v/>
      </c>
      <c r="I162" s="75" t="str">
        <f t="shared" si="38"/>
        <v/>
      </c>
      <c r="J162" s="74" t="str">
        <f t="shared" ca="1" si="39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41"/>
        <v>input starter in column D</v>
      </c>
      <c r="Q162" s="5" t="str">
        <f t="shared" si="42"/>
        <v/>
      </c>
      <c r="R162" s="10">
        <v>1</v>
      </c>
      <c r="AJ162" s="33" t="str">
        <f t="shared" ca="1" si="33"/>
        <v>RCR</v>
      </c>
    </row>
    <row r="163" spans="1:36" ht="12.75">
      <c r="A163" s="6">
        <v>9.08</v>
      </c>
      <c r="B163" s="33" t="s">
        <v>32</v>
      </c>
      <c r="C163" s="33" t="s">
        <v>51</v>
      </c>
      <c r="D163" s="74"/>
      <c r="E163" s="75" t="str">
        <f t="shared" si="34"/>
        <v/>
      </c>
      <c r="F163" s="75" t="str">
        <f t="shared" si="35"/>
        <v/>
      </c>
      <c r="G163" s="75" t="str">
        <f t="shared" si="36"/>
        <v/>
      </c>
      <c r="H163" s="75" t="str">
        <f t="shared" si="37"/>
        <v/>
      </c>
      <c r="I163" s="75" t="str">
        <f t="shared" si="38"/>
        <v/>
      </c>
      <c r="J163" s="74" t="str">
        <f t="shared" ca="1" si="39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41"/>
        <v>input starter in column D</v>
      </c>
      <c r="Q163" s="5" t="str">
        <f t="shared" si="42"/>
        <v/>
      </c>
      <c r="R163" s="10">
        <v>2</v>
      </c>
      <c r="AJ163" s="33" t="str">
        <f t="shared" ca="1" si="33"/>
        <v>RCR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3"/>
        <v/>
      </c>
    </row>
    <row r="165" spans="1:36" ht="12.75">
      <c r="A165" s="6">
        <v>9.1</v>
      </c>
      <c r="B165" s="33" t="s">
        <v>32</v>
      </c>
      <c r="C165" s="33" t="s">
        <v>51</v>
      </c>
      <c r="D165" s="74"/>
      <c r="E165" s="75" t="str">
        <f t="shared" si="34"/>
        <v/>
      </c>
      <c r="F165" s="75" t="str">
        <f t="shared" si="35"/>
        <v/>
      </c>
      <c r="G165" s="75" t="str">
        <f t="shared" si="36"/>
        <v/>
      </c>
      <c r="H165" s="75" t="str">
        <f t="shared" si="37"/>
        <v/>
      </c>
      <c r="I165" s="75" t="str">
        <f t="shared" si="38"/>
        <v/>
      </c>
      <c r="J165" s="74" t="str">
        <f t="shared" ca="1" si="39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3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42"/>
        <v/>
      </c>
      <c r="R165" s="10">
        <v>3</v>
      </c>
      <c r="AJ165" s="33" t="str">
        <f t="shared" ca="1" si="33"/>
        <v>RCR</v>
      </c>
    </row>
    <row r="166" spans="1:36" ht="12.75">
      <c r="A166" s="6">
        <v>9.11</v>
      </c>
      <c r="B166" s="33" t="s">
        <v>32</v>
      </c>
      <c r="C166" s="33" t="s">
        <v>51</v>
      </c>
      <c r="D166" s="74"/>
      <c r="E166" s="75" t="str">
        <f t="shared" si="34"/>
        <v/>
      </c>
      <c r="F166" s="75" t="str">
        <f t="shared" si="35"/>
        <v/>
      </c>
      <c r="G166" s="75" t="str">
        <f t="shared" si="36"/>
        <v/>
      </c>
      <c r="H166" s="75" t="str">
        <f t="shared" si="37"/>
        <v/>
      </c>
      <c r="I166" s="75" t="str">
        <f t="shared" si="38"/>
        <v/>
      </c>
      <c r="J166" s="74" t="str">
        <f t="shared" ca="1" si="39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3"/>
        <v>input starter in column D</v>
      </c>
      <c r="Q166" s="5" t="str">
        <f t="shared" si="42"/>
        <v/>
      </c>
      <c r="R166" s="10">
        <v>4</v>
      </c>
      <c r="AJ166" s="33" t="str">
        <f t="shared" ca="1" si="33"/>
        <v>RCR</v>
      </c>
    </row>
    <row r="167" spans="1:36" ht="12.75">
      <c r="A167" s="6">
        <v>9.1199999999999992</v>
      </c>
      <c r="B167" s="33"/>
      <c r="C167" s="33" t="s">
        <v>44</v>
      </c>
      <c r="D167" s="74"/>
      <c r="E167" s="75" t="str">
        <f t="shared" si="34"/>
        <v/>
      </c>
      <c r="F167" s="75" t="str">
        <f t="shared" si="35"/>
        <v/>
      </c>
      <c r="G167" s="75" t="str">
        <f t="shared" si="36"/>
        <v/>
      </c>
      <c r="H167" s="75" t="str">
        <f t="shared" si="37"/>
        <v/>
      </c>
      <c r="I167" s="75" t="str">
        <f t="shared" si="38"/>
        <v/>
      </c>
      <c r="J167" s="74" t="str">
        <f t="shared" ca="1" si="39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3"/>
        <v>input starter in column D</v>
      </c>
      <c r="Q167" s="5" t="str">
        <f t="shared" si="42"/>
        <v/>
      </c>
      <c r="R167" s="10">
        <v>1</v>
      </c>
      <c r="AJ167" s="33" t="str">
        <f t="shared" ca="1" si="33"/>
        <v>RCR</v>
      </c>
    </row>
    <row r="168" spans="1:36" ht="12.75">
      <c r="A168" s="6">
        <v>9.1300000000000008</v>
      </c>
      <c r="B168" s="33"/>
      <c r="C168" s="33" t="s">
        <v>44</v>
      </c>
      <c r="D168" s="74"/>
      <c r="E168" s="75" t="str">
        <f t="shared" si="34"/>
        <v/>
      </c>
      <c r="F168" s="75" t="str">
        <f t="shared" si="35"/>
        <v/>
      </c>
      <c r="G168" s="75" t="str">
        <f t="shared" si="36"/>
        <v/>
      </c>
      <c r="H168" s="75" t="str">
        <f t="shared" si="37"/>
        <v/>
      </c>
      <c r="I168" s="75" t="str">
        <f t="shared" si="38"/>
        <v/>
      </c>
      <c r="J168" s="74" t="str">
        <f t="shared" ca="1" si="39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3"/>
        <v>input starter in column D</v>
      </c>
      <c r="Q168" s="5" t="str">
        <f t="shared" si="42"/>
        <v/>
      </c>
      <c r="R168" s="10">
        <v>2</v>
      </c>
      <c r="AJ168" s="33" t="str">
        <f t="shared" ca="1" si="33"/>
        <v>RCR</v>
      </c>
    </row>
    <row r="169" spans="1:36" ht="12.75">
      <c r="A169" s="6">
        <v>9.14</v>
      </c>
      <c r="B169" s="33"/>
      <c r="C169" s="33" t="s">
        <v>44</v>
      </c>
      <c r="D169" s="74"/>
      <c r="E169" s="75" t="str">
        <f t="shared" si="34"/>
        <v/>
      </c>
      <c r="F169" s="75" t="str">
        <f t="shared" si="35"/>
        <v/>
      </c>
      <c r="G169" s="75" t="str">
        <f t="shared" si="36"/>
        <v/>
      </c>
      <c r="H169" s="75" t="str">
        <f t="shared" si="37"/>
        <v/>
      </c>
      <c r="I169" s="75" t="str">
        <f t="shared" si="38"/>
        <v/>
      </c>
      <c r="J169" s="74" t="str">
        <f t="shared" ca="1" si="39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3"/>
        <v>input starter in column D</v>
      </c>
      <c r="Q169" s="5" t="str">
        <f t="shared" si="42"/>
        <v/>
      </c>
      <c r="R169" s="10">
        <v>5</v>
      </c>
      <c r="AJ169" s="33" t="str">
        <f t="shared" ca="1" si="33"/>
        <v>RCR</v>
      </c>
    </row>
    <row r="170" spans="1:36" ht="12.75">
      <c r="A170" s="6">
        <v>9.15</v>
      </c>
      <c r="B170" s="33"/>
      <c r="C170" s="33" t="s">
        <v>44</v>
      </c>
      <c r="D170" s="74"/>
      <c r="E170" s="75" t="str">
        <f t="shared" si="34"/>
        <v/>
      </c>
      <c r="F170" s="75" t="str">
        <f t="shared" si="35"/>
        <v/>
      </c>
      <c r="G170" s="75" t="str">
        <f t="shared" si="36"/>
        <v/>
      </c>
      <c r="H170" s="75" t="str">
        <f t="shared" si="37"/>
        <v/>
      </c>
      <c r="I170" s="75" t="str">
        <f t="shared" si="38"/>
        <v/>
      </c>
      <c r="J170" s="74" t="str">
        <f t="shared" ca="1" si="39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3"/>
        <v>input starter in column D</v>
      </c>
      <c r="Q170" s="5" t="str">
        <f t="shared" si="42"/>
        <v/>
      </c>
      <c r="R170" s="10">
        <v>3</v>
      </c>
      <c r="AJ170" s="33" t="str">
        <f t="shared" ca="1" si="33"/>
        <v>RCR</v>
      </c>
    </row>
    <row r="171" spans="1:36" ht="12.75">
      <c r="A171" s="6">
        <v>9.16</v>
      </c>
      <c r="B171" s="32" t="s">
        <v>32</v>
      </c>
      <c r="C171" s="33" t="s">
        <v>15</v>
      </c>
      <c r="D171" s="74"/>
      <c r="E171" s="75" t="str">
        <f t="shared" si="34"/>
        <v/>
      </c>
      <c r="F171" s="75" t="str">
        <f t="shared" si="35"/>
        <v/>
      </c>
      <c r="G171" s="75" t="str">
        <f t="shared" si="36"/>
        <v/>
      </c>
      <c r="H171" s="75" t="str">
        <f t="shared" si="37"/>
        <v/>
      </c>
      <c r="I171" s="75" t="str">
        <f t="shared" si="38"/>
        <v/>
      </c>
      <c r="J171" s="74" t="str">
        <f t="shared" ca="1" si="39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3"/>
        <v>input starter in column D</v>
      </c>
      <c r="Q171" s="5" t="str">
        <f t="shared" si="42"/>
        <v/>
      </c>
      <c r="R171" s="10">
        <v>4</v>
      </c>
      <c r="AJ171" s="33" t="str">
        <f t="shared" ca="1" si="33"/>
        <v>RCR</v>
      </c>
    </row>
    <row r="172" spans="1:36" ht="12.75">
      <c r="A172" s="6">
        <v>9.17</v>
      </c>
      <c r="B172" s="32" t="s">
        <v>32</v>
      </c>
      <c r="C172" s="33" t="s">
        <v>15</v>
      </c>
      <c r="D172" s="74"/>
      <c r="E172" s="75" t="str">
        <f t="shared" si="34"/>
        <v/>
      </c>
      <c r="F172" s="75" t="str">
        <f t="shared" si="35"/>
        <v/>
      </c>
      <c r="G172" s="75" t="str">
        <f t="shared" si="36"/>
        <v/>
      </c>
      <c r="H172" s="75" t="str">
        <f t="shared" si="37"/>
        <v/>
      </c>
      <c r="I172" s="75" t="str">
        <f t="shared" si="38"/>
        <v/>
      </c>
      <c r="J172" s="74" t="str">
        <f t="shared" ca="1" si="39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3"/>
        <v>input starter in column D</v>
      </c>
      <c r="Q172" s="5" t="str">
        <f t="shared" si="42"/>
        <v/>
      </c>
      <c r="R172" s="10">
        <v>1</v>
      </c>
      <c r="AJ172" s="33" t="str">
        <f t="shared" ca="1" si="33"/>
        <v>RCR</v>
      </c>
    </row>
    <row r="173" spans="1:36" ht="12.75">
      <c r="A173" s="6">
        <v>9.18</v>
      </c>
      <c r="B173" s="32" t="s">
        <v>32</v>
      </c>
      <c r="C173" s="33" t="s">
        <v>15</v>
      </c>
      <c r="D173" s="74"/>
      <c r="E173" s="75" t="str">
        <f t="shared" si="34"/>
        <v/>
      </c>
      <c r="F173" s="75" t="str">
        <f t="shared" si="35"/>
        <v/>
      </c>
      <c r="G173" s="75" t="str">
        <f t="shared" si="36"/>
        <v/>
      </c>
      <c r="H173" s="75" t="str">
        <f t="shared" si="37"/>
        <v/>
      </c>
      <c r="I173" s="75" t="str">
        <f t="shared" si="38"/>
        <v/>
      </c>
      <c r="J173" s="74" t="str">
        <f t="shared" ca="1" si="39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3"/>
        <v>input starter in column D</v>
      </c>
      <c r="Q173" s="5" t="str">
        <f t="shared" si="42"/>
        <v/>
      </c>
      <c r="R173" s="10">
        <v>2</v>
      </c>
      <c r="AJ173" s="33" t="str">
        <f t="shared" ca="1" si="33"/>
        <v>RCR</v>
      </c>
    </row>
    <row r="174" spans="1:36" ht="12.75">
      <c r="A174" s="6">
        <v>9.19</v>
      </c>
      <c r="B174" s="33" t="s">
        <v>32</v>
      </c>
      <c r="C174" s="33" t="s">
        <v>46</v>
      </c>
      <c r="D174" s="74"/>
      <c r="E174" s="75" t="str">
        <f t="shared" si="34"/>
        <v/>
      </c>
      <c r="F174" s="75" t="str">
        <f t="shared" si="35"/>
        <v/>
      </c>
      <c r="G174" s="75" t="str">
        <f t="shared" si="36"/>
        <v/>
      </c>
      <c r="H174" s="75" t="str">
        <f t="shared" si="37"/>
        <v/>
      </c>
      <c r="I174" s="75" t="str">
        <f t="shared" si="38"/>
        <v/>
      </c>
      <c r="J174" s="74" t="str">
        <f t="shared" ca="1" si="39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3"/>
        <v>input starter in column D</v>
      </c>
      <c r="Q174" s="5" t="str">
        <f t="shared" si="42"/>
        <v/>
      </c>
      <c r="R174" s="10">
        <v>5</v>
      </c>
      <c r="AJ174" s="33" t="str">
        <f t="shared" ca="1" si="33"/>
        <v>RCR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3"/>
        <v/>
      </c>
    </row>
    <row r="176" spans="1:36" ht="12.75">
      <c r="A176" s="6">
        <v>9.2100000000000009</v>
      </c>
      <c r="B176" s="33" t="s">
        <v>32</v>
      </c>
      <c r="C176" s="33" t="s">
        <v>46</v>
      </c>
      <c r="D176" s="74"/>
      <c r="E176" s="75" t="str">
        <f t="shared" si="34"/>
        <v/>
      </c>
      <c r="F176" s="75" t="str">
        <f t="shared" si="35"/>
        <v/>
      </c>
      <c r="G176" s="75" t="str">
        <f t="shared" si="36"/>
        <v/>
      </c>
      <c r="H176" s="75" t="str">
        <f t="shared" si="37"/>
        <v/>
      </c>
      <c r="I176" s="75" t="str">
        <f t="shared" si="38"/>
        <v/>
      </c>
      <c r="J176" s="74" t="str">
        <f t="shared" ca="1" si="39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4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42"/>
        <v/>
      </c>
      <c r="R176" s="10">
        <v>3</v>
      </c>
      <c r="AJ176" s="33" t="str">
        <f t="shared" ca="1" si="33"/>
        <v>RCR</v>
      </c>
    </row>
    <row r="177" spans="1:36" ht="12.75">
      <c r="A177" s="6">
        <v>9.2200000000000006</v>
      </c>
      <c r="B177" s="33" t="s">
        <v>32</v>
      </c>
      <c r="C177" s="33" t="s">
        <v>46</v>
      </c>
      <c r="D177" s="74"/>
      <c r="E177" s="75" t="str">
        <f t="shared" si="34"/>
        <v/>
      </c>
      <c r="F177" s="75" t="str">
        <f t="shared" si="35"/>
        <v/>
      </c>
      <c r="G177" s="75" t="str">
        <f t="shared" si="36"/>
        <v/>
      </c>
      <c r="H177" s="75" t="str">
        <f t="shared" si="37"/>
        <v/>
      </c>
      <c r="I177" s="75" t="str">
        <f t="shared" si="38"/>
        <v/>
      </c>
      <c r="J177" s="74" t="str">
        <f t="shared" ca="1" si="39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4"/>
        <v>input starter in column D</v>
      </c>
      <c r="Q177" s="5" t="str">
        <f t="shared" si="42"/>
        <v/>
      </c>
      <c r="R177" s="10">
        <v>1</v>
      </c>
      <c r="AJ177" s="33" t="str">
        <f t="shared" ca="1" si="33"/>
        <v>RCR</v>
      </c>
    </row>
    <row r="178" spans="1:36" ht="12.75">
      <c r="A178" s="6">
        <v>9.23</v>
      </c>
      <c r="B178" s="33" t="s">
        <v>32</v>
      </c>
      <c r="C178" s="33" t="s">
        <v>46</v>
      </c>
      <c r="D178" s="74"/>
      <c r="E178" s="75" t="str">
        <f t="shared" si="34"/>
        <v/>
      </c>
      <c r="F178" s="75" t="str">
        <f t="shared" si="35"/>
        <v/>
      </c>
      <c r="G178" s="75" t="str">
        <f t="shared" si="36"/>
        <v/>
      </c>
      <c r="H178" s="75" t="str">
        <f t="shared" si="37"/>
        <v/>
      </c>
      <c r="I178" s="75" t="str">
        <f t="shared" si="38"/>
        <v/>
      </c>
      <c r="J178" s="74" t="str">
        <f t="shared" ca="1" si="39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4"/>
        <v>input starter in column D</v>
      </c>
      <c r="Q178" s="5" t="str">
        <f t="shared" si="42"/>
        <v/>
      </c>
      <c r="R178" s="10">
        <v>2</v>
      </c>
      <c r="AJ178" s="33" t="str">
        <f t="shared" ca="1" si="33"/>
        <v>RCR</v>
      </c>
    </row>
    <row r="179" spans="1:36" ht="12.75">
      <c r="A179" s="6">
        <v>9.24</v>
      </c>
      <c r="B179" s="33"/>
      <c r="C179" s="33" t="s">
        <v>33</v>
      </c>
      <c r="D179" s="74"/>
      <c r="E179" s="75" t="str">
        <f t="shared" si="34"/>
        <v/>
      </c>
      <c r="F179" s="75" t="str">
        <f t="shared" si="35"/>
        <v/>
      </c>
      <c r="G179" s="75" t="str">
        <f t="shared" si="36"/>
        <v/>
      </c>
      <c r="H179" s="75" t="str">
        <f t="shared" si="37"/>
        <v/>
      </c>
      <c r="I179" s="75" t="str">
        <f t="shared" si="38"/>
        <v/>
      </c>
      <c r="J179" s="74" t="str">
        <f t="shared" ca="1" si="39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4"/>
        <v>input starter in column D</v>
      </c>
      <c r="Q179" s="5" t="str">
        <f t="shared" si="42"/>
        <v/>
      </c>
      <c r="R179" s="10">
        <v>4</v>
      </c>
      <c r="AJ179" s="33" t="str">
        <f t="shared" ca="1" si="33"/>
        <v>RCR</v>
      </c>
    </row>
    <row r="180" spans="1:36" ht="12.75">
      <c r="A180" s="6">
        <v>9.25</v>
      </c>
      <c r="B180" s="33"/>
      <c r="C180" s="33" t="s">
        <v>33</v>
      </c>
      <c r="D180" s="74"/>
      <c r="E180" s="75" t="str">
        <f t="shared" si="34"/>
        <v/>
      </c>
      <c r="F180" s="75" t="str">
        <f t="shared" si="35"/>
        <v/>
      </c>
      <c r="G180" s="75" t="str">
        <f t="shared" si="36"/>
        <v/>
      </c>
      <c r="H180" s="75" t="str">
        <f t="shared" si="37"/>
        <v/>
      </c>
      <c r="I180" s="75" t="str">
        <f t="shared" si="38"/>
        <v/>
      </c>
      <c r="J180" s="74" t="str">
        <f t="shared" ca="1" si="39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4"/>
        <v>input starter in column D</v>
      </c>
      <c r="Q180" s="5" t="str">
        <f t="shared" si="42"/>
        <v/>
      </c>
      <c r="R180" s="10">
        <v>5</v>
      </c>
      <c r="AJ180" s="33" t="str">
        <f t="shared" ca="1" si="33"/>
        <v>RCR</v>
      </c>
    </row>
    <row r="181" spans="1:36" ht="12.75">
      <c r="A181" s="6">
        <v>9.26</v>
      </c>
      <c r="B181" s="33"/>
      <c r="C181" s="33" t="s">
        <v>33</v>
      </c>
      <c r="D181" s="74"/>
      <c r="E181" s="75" t="str">
        <f t="shared" si="34"/>
        <v/>
      </c>
      <c r="F181" s="75" t="str">
        <f t="shared" si="35"/>
        <v/>
      </c>
      <c r="G181" s="75" t="str">
        <f t="shared" si="36"/>
        <v/>
      </c>
      <c r="H181" s="75" t="str">
        <f t="shared" si="37"/>
        <v/>
      </c>
      <c r="I181" s="75" t="str">
        <f t="shared" si="38"/>
        <v/>
      </c>
      <c r="J181" s="74" t="str">
        <f t="shared" ca="1" si="39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4"/>
        <v>input starter in column D</v>
      </c>
      <c r="Q181" s="5" t="str">
        <f t="shared" si="42"/>
        <v/>
      </c>
      <c r="R181" s="10">
        <v>3</v>
      </c>
      <c r="AJ181" s="33" t="str">
        <f t="shared" ca="1" si="33"/>
        <v>RCR</v>
      </c>
    </row>
    <row r="182" spans="1:36" ht="12.75">
      <c r="A182" s="6">
        <v>9.27</v>
      </c>
      <c r="B182" s="33" t="s">
        <v>32</v>
      </c>
      <c r="C182" s="33" t="s">
        <v>43</v>
      </c>
      <c r="D182" s="74"/>
      <c r="E182" s="75" t="str">
        <f t="shared" si="34"/>
        <v/>
      </c>
      <c r="F182" s="75" t="str">
        <f t="shared" si="35"/>
        <v/>
      </c>
      <c r="G182" s="75" t="str">
        <f t="shared" si="36"/>
        <v/>
      </c>
      <c r="H182" s="75" t="str">
        <f t="shared" si="37"/>
        <v/>
      </c>
      <c r="I182" s="75" t="str">
        <f t="shared" si="38"/>
        <v/>
      </c>
      <c r="J182" s="74" t="str">
        <f t="shared" ca="1" si="39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4"/>
        <v>input starter in column D</v>
      </c>
      <c r="Q182" s="5" t="str">
        <f t="shared" si="42"/>
        <v/>
      </c>
      <c r="R182" s="10">
        <v>1</v>
      </c>
      <c r="AJ182" s="33" t="str">
        <f t="shared" ca="1" si="33"/>
        <v>RCR</v>
      </c>
    </row>
    <row r="183" spans="1:36" ht="12.75">
      <c r="A183" s="6">
        <v>9.2799999999999994</v>
      </c>
      <c r="B183" s="33" t="s">
        <v>32</v>
      </c>
      <c r="C183" s="33" t="s">
        <v>43</v>
      </c>
      <c r="D183" s="74"/>
      <c r="E183" s="75" t="str">
        <f t="shared" si="34"/>
        <v/>
      </c>
      <c r="F183" s="75" t="str">
        <f t="shared" si="35"/>
        <v/>
      </c>
      <c r="G183" s="75" t="str">
        <f t="shared" si="36"/>
        <v/>
      </c>
      <c r="H183" s="75" t="str">
        <f t="shared" si="37"/>
        <v/>
      </c>
      <c r="I183" s="75" t="str">
        <f t="shared" si="38"/>
        <v/>
      </c>
      <c r="J183" s="74" t="str">
        <f t="shared" ca="1" si="39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4"/>
        <v>input starter in column D</v>
      </c>
      <c r="Q183" s="5" t="str">
        <f t="shared" si="42"/>
        <v/>
      </c>
      <c r="R183" s="10">
        <v>2</v>
      </c>
      <c r="AJ183" s="33" t="str">
        <f t="shared" ca="1" si="33"/>
        <v>RCR</v>
      </c>
    </row>
    <row r="184" spans="1:36" ht="12.75">
      <c r="A184" s="6">
        <v>9.2899999999999991</v>
      </c>
      <c r="B184" s="33" t="s">
        <v>32</v>
      </c>
      <c r="C184" s="33" t="s">
        <v>43</v>
      </c>
      <c r="D184" s="74"/>
      <c r="E184" s="75" t="str">
        <f t="shared" si="34"/>
        <v/>
      </c>
      <c r="F184" s="75" t="str">
        <f t="shared" si="35"/>
        <v/>
      </c>
      <c r="G184" s="75" t="str">
        <f t="shared" si="36"/>
        <v/>
      </c>
      <c r="H184" s="75" t="str">
        <f t="shared" si="37"/>
        <v/>
      </c>
      <c r="I184" s="75" t="str">
        <f t="shared" si="38"/>
        <v/>
      </c>
      <c r="J184" s="74" t="str">
        <f t="shared" ca="1" si="39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4"/>
        <v>input starter in column D</v>
      </c>
      <c r="Q184" s="5" t="str">
        <f t="shared" si="42"/>
        <v/>
      </c>
      <c r="R184" s="10">
        <v>4</v>
      </c>
      <c r="AJ184" s="33" t="str">
        <f t="shared" ca="1" si="33"/>
        <v>RCR</v>
      </c>
    </row>
    <row r="185" spans="1:36" ht="12.75">
      <c r="A185" s="6">
        <v>9.3000000000000007</v>
      </c>
      <c r="B185" s="33" t="s">
        <v>32</v>
      </c>
      <c r="C185" s="33" t="s">
        <v>43</v>
      </c>
      <c r="D185" s="74"/>
      <c r="E185" s="75" t="str">
        <f t="shared" si="34"/>
        <v/>
      </c>
      <c r="F185" s="75" t="str">
        <f t="shared" si="35"/>
        <v/>
      </c>
      <c r="G185" s="75" t="str">
        <f t="shared" si="36"/>
        <v/>
      </c>
      <c r="H185" s="75" t="str">
        <f t="shared" si="37"/>
        <v/>
      </c>
      <c r="I185" s="75" t="str">
        <f t="shared" si="38"/>
        <v/>
      </c>
      <c r="J185" s="74" t="str">
        <f t="shared" ca="1" si="39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4"/>
        <v>input starter in column D</v>
      </c>
      <c r="Q185" s="5" t="str">
        <f t="shared" si="42"/>
        <v/>
      </c>
      <c r="R185" s="10">
        <v>5</v>
      </c>
      <c r="AJ185" s="33" t="str">
        <f t="shared" ca="1" si="33"/>
        <v>RCR</v>
      </c>
    </row>
    <row r="186" spans="1:36">
      <c r="C186" s="2"/>
      <c r="D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D194" s="2"/>
      <c r="K194" s="2"/>
      <c r="AJ194" s="2"/>
    </row>
    <row r="195" spans="3:36">
      <c r="C195" s="2"/>
      <c r="D195" s="2"/>
      <c r="K195" s="2"/>
      <c r="AJ195" s="2"/>
    </row>
    <row r="196" spans="3:36">
      <c r="C196" s="2"/>
      <c r="D196" s="2"/>
      <c r="K196" s="2"/>
      <c r="AJ196" s="2"/>
    </row>
    <row r="197" spans="3:36">
      <c r="C197" s="2"/>
      <c r="D197" s="2"/>
      <c r="K197" s="2"/>
      <c r="AJ197" s="2"/>
    </row>
    <row r="198" spans="3:36">
      <c r="C198" s="2"/>
      <c r="D198" s="2"/>
      <c r="K198" s="2"/>
      <c r="AJ198" s="2"/>
    </row>
    <row r="199" spans="3:36">
      <c r="C199" s="2"/>
      <c r="D199" s="2"/>
      <c r="K199" s="2"/>
      <c r="AJ199" s="2"/>
    </row>
    <row r="200" spans="3:36">
      <c r="C200" s="2"/>
      <c r="D200" s="2"/>
      <c r="K200" s="2"/>
      <c r="AJ200" s="2"/>
    </row>
    <row r="201" spans="3:36">
      <c r="C201" s="2"/>
      <c r="D201" s="2"/>
      <c r="K201" s="2"/>
      <c r="AJ201" s="2"/>
    </row>
    <row r="202" spans="3:36">
      <c r="C202" s="2"/>
      <c r="D202" s="2"/>
      <c r="K202" s="2"/>
      <c r="AJ202" s="2"/>
    </row>
    <row r="203" spans="3:36">
      <c r="C203" s="2"/>
      <c r="D203" s="2"/>
      <c r="K203" s="2"/>
      <c r="AJ203" s="2"/>
    </row>
    <row r="204" spans="3:36">
      <c r="C204" s="2"/>
      <c r="D204" s="2"/>
      <c r="AJ204" s="2"/>
    </row>
    <row r="205" spans="3:36">
      <c r="C205" s="2"/>
      <c r="D205" s="2"/>
      <c r="AJ205" s="2"/>
    </row>
    <row r="206" spans="3:36">
      <c r="C206" s="2"/>
      <c r="D206" s="2"/>
      <c r="AJ206" s="2"/>
    </row>
    <row r="207" spans="3:36">
      <c r="C207" s="2"/>
      <c r="D207" s="2"/>
      <c r="AJ207" s="2"/>
    </row>
    <row r="208" spans="3:36">
      <c r="C208" s="2"/>
      <c r="D208" s="2"/>
      <c r="AJ208" s="2"/>
    </row>
    <row r="209" spans="3:36">
      <c r="C209" s="2"/>
      <c r="D209" s="2"/>
      <c r="AJ209" s="2"/>
    </row>
    <row r="210" spans="3:36">
      <c r="C210" s="2"/>
      <c r="D210" s="2"/>
      <c r="AJ210" s="2"/>
    </row>
    <row r="211" spans="3:36">
      <c r="C211" s="2"/>
      <c r="D211" s="2"/>
      <c r="AJ211" s="2"/>
    </row>
    <row r="212" spans="3:36">
      <c r="C212" s="2"/>
      <c r="D212" s="2"/>
      <c r="AJ212" s="2"/>
    </row>
    <row r="213" spans="3:36">
      <c r="C213" s="2"/>
      <c r="D213" s="2"/>
      <c r="AJ213" s="2"/>
    </row>
    <row r="214" spans="3:36">
      <c r="C214" s="2"/>
      <c r="D214" s="2"/>
      <c r="AJ214" s="2"/>
    </row>
    <row r="215" spans="3:36">
      <c r="C215" s="2"/>
      <c r="D215" s="2"/>
      <c r="AJ215" s="2"/>
    </row>
    <row r="216" spans="3:36">
      <c r="C216" s="2"/>
      <c r="D216" s="2"/>
      <c r="AJ216" s="2"/>
    </row>
    <row r="217" spans="3:36">
      <c r="C217" s="2"/>
      <c r="D217" s="2"/>
      <c r="AJ217" s="2"/>
    </row>
    <row r="218" spans="3:36">
      <c r="D218" s="2"/>
    </row>
    <row r="219" spans="3:36">
      <c r="D219" s="2"/>
    </row>
    <row r="220" spans="3:36">
      <c r="D220" s="2"/>
    </row>
    <row r="221" spans="3:36">
      <c r="D221" s="2"/>
    </row>
    <row r="222" spans="3:36">
      <c r="D222" s="2"/>
    </row>
    <row r="223" spans="3:36">
      <c r="D223" s="2"/>
    </row>
    <row r="224" spans="3:36">
      <c r="D224" s="2"/>
    </row>
    <row r="225" spans="4:4">
      <c r="D225" s="2"/>
    </row>
  </sheetData>
  <phoneticPr fontId="0" type="noConversion"/>
  <conditionalFormatting sqref="AK3:AK22">
    <cfRule type="cellIs" dxfId="1886" priority="795" stopIfTrue="1" operator="equal">
      <formula>"must average at least 5 innings per start"</formula>
    </cfRule>
  </conditionalFormatting>
  <conditionalFormatting sqref="AK23">
    <cfRule type="cellIs" dxfId="1885" priority="796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84" priority="797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1883" priority="798" stopIfTrue="1" operator="equal">
      <formula>"input a different starter in column C"</formula>
    </cfRule>
  </conditionalFormatting>
  <conditionalFormatting sqref="AH3:AH22">
    <cfRule type="cellIs" dxfId="1882" priority="421" stopIfTrue="1" operator="equal">
      <formula>"must average at least 5 innings per start"</formula>
    </cfRule>
  </conditionalFormatting>
  <conditionalFormatting sqref="AH23">
    <cfRule type="cellIs" dxfId="1881" priority="420" stopIfTrue="1" operator="equal">
      <formula>"must have 162 starts"</formula>
    </cfRule>
  </conditionalFormatting>
  <conditionalFormatting sqref="AG3:AG22">
    <cfRule type="cellIs" dxfId="1880" priority="419" stopIfTrue="1" operator="equal">
      <formula>"must average at least 5 innings per start"</formula>
    </cfRule>
  </conditionalFormatting>
  <conditionalFormatting sqref="AG23">
    <cfRule type="cellIs" dxfId="1879" priority="418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78" priority="41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77" priority="41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76" priority="41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75" priority="41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74" priority="41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73" priority="41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72" priority="41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71" priority="41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70" priority="40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9" priority="40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8" priority="40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7" priority="40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6" priority="40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5" priority="40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4" priority="40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3" priority="40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2" priority="40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1" priority="40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60" priority="39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59" priority="39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58" priority="39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57" priority="39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56" priority="39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855" priority="394" stopIfTrue="1" operator="equal">
      <formula>"input starter in column C"</formula>
    </cfRule>
  </conditionalFormatting>
  <conditionalFormatting sqref="P3">
    <cfRule type="cellIs" dxfId="1854" priority="393" stopIfTrue="1" operator="equal">
      <formula>"input starter in column D"</formula>
    </cfRule>
  </conditionalFormatting>
  <conditionalFormatting sqref="P4">
    <cfRule type="cellIs" dxfId="1853" priority="392" stopIfTrue="1" operator="equal">
      <formula>"input starter in column D"</formula>
    </cfRule>
  </conditionalFormatting>
  <conditionalFormatting sqref="P5">
    <cfRule type="cellIs" dxfId="1852" priority="391" stopIfTrue="1" operator="equal">
      <formula>"INPUT STARTER IN COLUMN D"</formula>
    </cfRule>
  </conditionalFormatting>
  <conditionalFormatting sqref="P6">
    <cfRule type="cellIs" dxfId="1851" priority="390" stopIfTrue="1" operator="equal">
      <formula>"INPUT STARTER IN COLUMN D"</formula>
    </cfRule>
  </conditionalFormatting>
  <conditionalFormatting sqref="P8">
    <cfRule type="cellIs" dxfId="1850" priority="389" stopIfTrue="1" operator="equal">
      <formula>"INPUT STARTER IN COLUMN D"</formula>
    </cfRule>
  </conditionalFormatting>
  <conditionalFormatting sqref="P9">
    <cfRule type="cellIs" dxfId="1849" priority="388" stopIfTrue="1" operator="equal">
      <formula>"INPUT STARTER IN COLUMN D"</formula>
    </cfRule>
  </conditionalFormatting>
  <conditionalFormatting sqref="P10">
    <cfRule type="cellIs" dxfId="1848" priority="387" stopIfTrue="1" operator="equal">
      <formula>"INPUT STARTER IN COLUMN D"</formula>
    </cfRule>
  </conditionalFormatting>
  <conditionalFormatting sqref="P11">
    <cfRule type="cellIs" dxfId="1847" priority="386" stopIfTrue="1" operator="equal">
      <formula>"INPUT STARTER IN COLUMN D"</formula>
    </cfRule>
  </conditionalFormatting>
  <conditionalFormatting sqref="P13">
    <cfRule type="cellIs" dxfId="1846" priority="385" stopIfTrue="1" operator="equal">
      <formula>"INPUT STARTER IN COLUMN D"</formula>
    </cfRule>
  </conditionalFormatting>
  <conditionalFormatting sqref="P14">
    <cfRule type="cellIs" dxfId="1845" priority="384" stopIfTrue="1" operator="equal">
      <formula>"INPUT STARTER IN COLUMN D"</formula>
    </cfRule>
  </conditionalFormatting>
  <conditionalFormatting sqref="P15">
    <cfRule type="cellIs" dxfId="1844" priority="383" stopIfTrue="1" operator="equal">
      <formula>"INPUT STARTER IN COLUMN D"</formula>
    </cfRule>
  </conditionalFormatting>
  <conditionalFormatting sqref="P16">
    <cfRule type="cellIs" dxfId="1843" priority="382" stopIfTrue="1" operator="equal">
      <formula>"INPUT STARTER IN COLUMN D"</formula>
    </cfRule>
  </conditionalFormatting>
  <conditionalFormatting sqref="P18">
    <cfRule type="cellIs" dxfId="1842" priority="381" stopIfTrue="1" operator="equal">
      <formula>"INPUT STARTER IN COLUMN D"</formula>
    </cfRule>
  </conditionalFormatting>
  <conditionalFormatting sqref="P19">
    <cfRule type="cellIs" dxfId="1841" priority="380" stopIfTrue="1" operator="equal">
      <formula>"INPUT STARTER IN COLUMN D"</formula>
    </cfRule>
  </conditionalFormatting>
  <conditionalFormatting sqref="P20">
    <cfRule type="cellIs" dxfId="1840" priority="379" stopIfTrue="1" operator="equal">
      <formula>"INPUT STARTER IN COLUMN D"</formula>
    </cfRule>
  </conditionalFormatting>
  <conditionalFormatting sqref="P21">
    <cfRule type="cellIs" dxfId="1839" priority="378" stopIfTrue="1" operator="equal">
      <formula>"INPUT STARTER IN COLUMN D"</formula>
    </cfRule>
  </conditionalFormatting>
  <conditionalFormatting sqref="P23">
    <cfRule type="cellIs" dxfId="1838" priority="377" stopIfTrue="1" operator="equal">
      <formula>"INPUT STARTER IN COLUMN D"</formula>
    </cfRule>
  </conditionalFormatting>
  <conditionalFormatting sqref="P24">
    <cfRule type="cellIs" dxfId="1837" priority="376" stopIfTrue="1" operator="equal">
      <formula>"INPUT STARTER IN COLUMN D"</formula>
    </cfRule>
  </conditionalFormatting>
  <conditionalFormatting sqref="P25">
    <cfRule type="cellIs" dxfId="1836" priority="375" stopIfTrue="1" operator="equal">
      <formula>"INPUT STARTER IN COLUMN D"</formula>
    </cfRule>
  </conditionalFormatting>
  <conditionalFormatting sqref="P26">
    <cfRule type="cellIs" dxfId="1835" priority="374" stopIfTrue="1" operator="equal">
      <formula>"INPUT STARTER IN COLUMN D"</formula>
    </cfRule>
  </conditionalFormatting>
  <conditionalFormatting sqref="P28">
    <cfRule type="cellIs" dxfId="1834" priority="373" stopIfTrue="1" operator="equal">
      <formula>"INPUT STARTER IN COLUMN D"</formula>
    </cfRule>
  </conditionalFormatting>
  <conditionalFormatting sqref="P29">
    <cfRule type="cellIs" dxfId="1833" priority="372" stopIfTrue="1" operator="equal">
      <formula>"INPUT STARTER IN COLUMN D"</formula>
    </cfRule>
  </conditionalFormatting>
  <conditionalFormatting sqref="P30">
    <cfRule type="cellIs" dxfId="1832" priority="371" stopIfTrue="1" operator="equal">
      <formula>"INPUT STARTER IN COLUMN D"</formula>
    </cfRule>
  </conditionalFormatting>
  <conditionalFormatting sqref="P31">
    <cfRule type="cellIs" dxfId="1831" priority="370" stopIfTrue="1" operator="equal">
      <formula>"INPUT STARTER IN COLUMN D"</formula>
    </cfRule>
  </conditionalFormatting>
  <conditionalFormatting sqref="P33">
    <cfRule type="cellIs" dxfId="1830" priority="369" stopIfTrue="1" operator="equal">
      <formula>"INPUT STARTER IN COLUMN D"</formula>
    </cfRule>
  </conditionalFormatting>
  <conditionalFormatting sqref="P34">
    <cfRule type="cellIs" dxfId="1829" priority="368" stopIfTrue="1" operator="equal">
      <formula>"INPUT STARTER IN COLUMN D"</formula>
    </cfRule>
  </conditionalFormatting>
  <conditionalFormatting sqref="P35">
    <cfRule type="cellIs" dxfId="1828" priority="367" stopIfTrue="1" operator="equal">
      <formula>"INPUT STARTER IN COLUMN D"</formula>
    </cfRule>
  </conditionalFormatting>
  <conditionalFormatting sqref="P36">
    <cfRule type="cellIs" dxfId="1827" priority="366" stopIfTrue="1" operator="equal">
      <formula>"INPUT STARTER IN COLUMN D"</formula>
    </cfRule>
  </conditionalFormatting>
  <conditionalFormatting sqref="P37">
    <cfRule type="cellIs" dxfId="1826" priority="365" stopIfTrue="1" operator="equal">
      <formula>"INPUT STARTER IN COLUMN D"</formula>
    </cfRule>
  </conditionalFormatting>
  <conditionalFormatting sqref="P38">
    <cfRule type="cellIs" dxfId="1825" priority="364" stopIfTrue="1" operator="equal">
      <formula>"INPUT STARTER IN COLUMN D"</formula>
    </cfRule>
  </conditionalFormatting>
  <conditionalFormatting sqref="P39">
    <cfRule type="cellIs" dxfId="1824" priority="363" stopIfTrue="1" operator="equal">
      <formula>"INPUT STARTER IN COLUMN D"</formula>
    </cfRule>
  </conditionalFormatting>
  <conditionalFormatting sqref="P40">
    <cfRule type="cellIs" dxfId="1823" priority="362" stopIfTrue="1" operator="equal">
      <formula>"INPUT STARTER IN COLUMN D"</formula>
    </cfRule>
  </conditionalFormatting>
  <conditionalFormatting sqref="P42">
    <cfRule type="cellIs" dxfId="1822" priority="361" stopIfTrue="1" operator="equal">
      <formula>"INPUT STARTER IN COLUMN D"</formula>
    </cfRule>
  </conditionalFormatting>
  <conditionalFormatting sqref="P43">
    <cfRule type="cellIs" dxfId="1821" priority="360" stopIfTrue="1" operator="equal">
      <formula>"INPUT STARTER IN COLUMN D"</formula>
    </cfRule>
  </conditionalFormatting>
  <conditionalFormatting sqref="P44">
    <cfRule type="cellIs" dxfId="1820" priority="359" stopIfTrue="1" operator="equal">
      <formula>"INPUT STARTER IN COLUMN D"</formula>
    </cfRule>
  </conditionalFormatting>
  <conditionalFormatting sqref="P45">
    <cfRule type="cellIs" dxfId="1819" priority="358" stopIfTrue="1" operator="equal">
      <formula>"INPUT STARTER IN COLUMN D"</formula>
    </cfRule>
  </conditionalFormatting>
  <conditionalFormatting sqref="P46">
    <cfRule type="cellIs" dxfId="1818" priority="357" stopIfTrue="1" operator="equal">
      <formula>"INPUT STARTER IN COLUMN D"</formula>
    </cfRule>
  </conditionalFormatting>
  <conditionalFormatting sqref="P47">
    <cfRule type="cellIs" dxfId="1817" priority="356" stopIfTrue="1" operator="equal">
      <formula>"INPUT STARTER IN COLUMN D"</formula>
    </cfRule>
  </conditionalFormatting>
  <conditionalFormatting sqref="P49">
    <cfRule type="cellIs" dxfId="1816" priority="355" stopIfTrue="1" operator="equal">
      <formula>"INPUT STARTER IN COLUMN D"</formula>
    </cfRule>
  </conditionalFormatting>
  <conditionalFormatting sqref="P50">
    <cfRule type="cellIs" dxfId="1815" priority="354" stopIfTrue="1" operator="equal">
      <formula>"INPUT STARTER IN COLUMN D"</formula>
    </cfRule>
  </conditionalFormatting>
  <conditionalFormatting sqref="P51">
    <cfRule type="cellIs" dxfId="1814" priority="353" stopIfTrue="1" operator="equal">
      <formula>"INPUT STARTER IN COLUMN D"</formula>
    </cfRule>
  </conditionalFormatting>
  <conditionalFormatting sqref="P52">
    <cfRule type="cellIs" dxfId="1813" priority="352" stopIfTrue="1" operator="equal">
      <formula>"INPUT STARTER IN COLUMN D"</formula>
    </cfRule>
  </conditionalFormatting>
  <conditionalFormatting sqref="P53">
    <cfRule type="cellIs" dxfId="1812" priority="351" stopIfTrue="1" operator="equal">
      <formula>"INPUT STARTER IN COLUMN D"</formula>
    </cfRule>
  </conditionalFormatting>
  <conditionalFormatting sqref="P54">
    <cfRule type="cellIs" dxfId="1811" priority="350" stopIfTrue="1" operator="equal">
      <formula>"INPUT STARTER IN COLUMN D"</formula>
    </cfRule>
  </conditionalFormatting>
  <conditionalFormatting sqref="P56">
    <cfRule type="cellIs" dxfId="1810" priority="349" stopIfTrue="1" operator="equal">
      <formula>"INPUT STARTER IN COLUMN D"</formula>
    </cfRule>
  </conditionalFormatting>
  <conditionalFormatting sqref="P57">
    <cfRule type="cellIs" dxfId="1809" priority="348" stopIfTrue="1" operator="equal">
      <formula>"INPUT STARTER IN COLUMN D"</formula>
    </cfRule>
  </conditionalFormatting>
  <conditionalFormatting sqref="P58">
    <cfRule type="cellIs" dxfId="1808" priority="347" stopIfTrue="1" operator="equal">
      <formula>"INPUT STARTER IN COLUMN D"</formula>
    </cfRule>
  </conditionalFormatting>
  <conditionalFormatting sqref="P59">
    <cfRule type="cellIs" dxfId="1807" priority="346" stopIfTrue="1" operator="equal">
      <formula>"INPUT STARTER IN COLUMN D"</formula>
    </cfRule>
  </conditionalFormatting>
  <conditionalFormatting sqref="P60">
    <cfRule type="cellIs" dxfId="1806" priority="345" stopIfTrue="1" operator="equal">
      <formula>"INPUT STARTER IN COLUMN D"</formula>
    </cfRule>
  </conditionalFormatting>
  <conditionalFormatting sqref="P61">
    <cfRule type="cellIs" dxfId="1805" priority="344" stopIfTrue="1" operator="equal">
      <formula>"INPUT STARTER IN COLUMN D"</formula>
    </cfRule>
  </conditionalFormatting>
  <conditionalFormatting sqref="P63">
    <cfRule type="cellIs" dxfId="1804" priority="343" stopIfTrue="1" operator="equal">
      <formula>"INPUT STARTER IN COLUMN D"</formula>
    </cfRule>
  </conditionalFormatting>
  <conditionalFormatting sqref="P64">
    <cfRule type="cellIs" dxfId="1803" priority="342" stopIfTrue="1" operator="equal">
      <formula>"INPUT STARTER IN COLUMN D"</formula>
    </cfRule>
  </conditionalFormatting>
  <conditionalFormatting sqref="P65">
    <cfRule type="cellIs" dxfId="1802" priority="341" stopIfTrue="1" operator="equal">
      <formula>"INPUT STARTER IN COLUMN D"</formula>
    </cfRule>
  </conditionalFormatting>
  <conditionalFormatting sqref="P66">
    <cfRule type="cellIs" dxfId="1801" priority="340" stopIfTrue="1" operator="equal">
      <formula>"INPUT STARTER IN COLUMN D"</formula>
    </cfRule>
  </conditionalFormatting>
  <conditionalFormatting sqref="P67">
    <cfRule type="cellIs" dxfId="1800" priority="339" stopIfTrue="1" operator="equal">
      <formula>"INPUT STARTER IN COLUMN D"</formula>
    </cfRule>
  </conditionalFormatting>
  <conditionalFormatting sqref="P68">
    <cfRule type="cellIs" dxfId="1799" priority="338" stopIfTrue="1" operator="equal">
      <formula>"INPUT STARTER IN COLUMN D"</formula>
    </cfRule>
  </conditionalFormatting>
  <conditionalFormatting sqref="P69">
    <cfRule type="cellIs" dxfId="1798" priority="337" stopIfTrue="1" operator="equal">
      <formula>"INPUT STARTER IN COLUMN D"</formula>
    </cfRule>
  </conditionalFormatting>
  <conditionalFormatting sqref="P71">
    <cfRule type="cellIs" dxfId="1797" priority="336" stopIfTrue="1" operator="equal">
      <formula>"INPUT STARTER IN COLUMN D"</formula>
    </cfRule>
  </conditionalFormatting>
  <conditionalFormatting sqref="P72">
    <cfRule type="cellIs" dxfId="1796" priority="335" stopIfTrue="1" operator="equal">
      <formula>"INPUT STARTER IN COLUMN D"</formula>
    </cfRule>
  </conditionalFormatting>
  <conditionalFormatting sqref="P73">
    <cfRule type="cellIs" dxfId="1795" priority="334" stopIfTrue="1" operator="equal">
      <formula>"INPUT STARTER IN COLUMN D"</formula>
    </cfRule>
  </conditionalFormatting>
  <conditionalFormatting sqref="P74">
    <cfRule type="cellIs" dxfId="1794" priority="333" stopIfTrue="1" operator="equal">
      <formula>"INPUT STARTER IN COLUMN D"</formula>
    </cfRule>
  </conditionalFormatting>
  <conditionalFormatting sqref="P75">
    <cfRule type="cellIs" dxfId="1793" priority="332" stopIfTrue="1" operator="equal">
      <formula>"INPUT STARTER IN COLUMN D"</formula>
    </cfRule>
  </conditionalFormatting>
  <conditionalFormatting sqref="P76">
    <cfRule type="cellIs" dxfId="1792" priority="331" stopIfTrue="1" operator="equal">
      <formula>"INPUT STARTER IN COLUMN D"</formula>
    </cfRule>
  </conditionalFormatting>
  <conditionalFormatting sqref="P77">
    <cfRule type="cellIs" dxfId="1791" priority="330" stopIfTrue="1" operator="equal">
      <formula>"INPUT STARTER IN COLUMN D"</formula>
    </cfRule>
  </conditionalFormatting>
  <conditionalFormatting sqref="P78">
    <cfRule type="cellIs" dxfId="1790" priority="329" stopIfTrue="1" operator="equal">
      <formula>"INPUT STARTER IN COLUMN D"</formula>
    </cfRule>
  </conditionalFormatting>
  <conditionalFormatting sqref="P79">
    <cfRule type="cellIs" dxfId="1789" priority="328" stopIfTrue="1" operator="equal">
      <formula>"INPUT STARTER IN COLUMN D"</formula>
    </cfRule>
  </conditionalFormatting>
  <conditionalFormatting sqref="P80">
    <cfRule type="cellIs" dxfId="1788" priority="327" stopIfTrue="1" operator="equal">
      <formula>"INPUT STARTER IN COLUMN D"</formula>
    </cfRule>
  </conditionalFormatting>
  <conditionalFormatting sqref="P81">
    <cfRule type="cellIs" dxfId="1787" priority="326" stopIfTrue="1" operator="equal">
      <formula>"INPUT STARTER IN COLUMN D"</formula>
    </cfRule>
  </conditionalFormatting>
  <conditionalFormatting sqref="P82">
    <cfRule type="cellIs" dxfId="1786" priority="325" stopIfTrue="1" operator="equal">
      <formula>"INPUT STARTER IN COLUMN D"</formula>
    </cfRule>
  </conditionalFormatting>
  <conditionalFormatting sqref="P84">
    <cfRule type="cellIs" dxfId="1785" priority="324" stopIfTrue="1" operator="equal">
      <formula>"INPUT STARTER IN COLUMN D"</formula>
    </cfRule>
  </conditionalFormatting>
  <conditionalFormatting sqref="P85">
    <cfRule type="cellIs" dxfId="1784" priority="323" stopIfTrue="1" operator="equal">
      <formula>"INPUT STARTER IN COLUMN D"</formula>
    </cfRule>
  </conditionalFormatting>
  <conditionalFormatting sqref="P86">
    <cfRule type="cellIs" dxfId="1783" priority="322" stopIfTrue="1" operator="equal">
      <formula>"INPUT STARTER IN COLUMN D"</formula>
    </cfRule>
  </conditionalFormatting>
  <conditionalFormatting sqref="P87">
    <cfRule type="cellIs" dxfId="1782" priority="321" stopIfTrue="1" operator="equal">
      <formula>"INPUT STARTER IN COLUMN D"</formula>
    </cfRule>
  </conditionalFormatting>
  <conditionalFormatting sqref="P88">
    <cfRule type="cellIs" dxfId="1781" priority="320" stopIfTrue="1" operator="equal">
      <formula>"INPUT STARTER IN COLUMN D"</formula>
    </cfRule>
  </conditionalFormatting>
  <conditionalFormatting sqref="P89">
    <cfRule type="cellIs" dxfId="1780" priority="319" stopIfTrue="1" operator="equal">
      <formula>"INPUT STARTER IN COLUMN D"</formula>
    </cfRule>
  </conditionalFormatting>
  <conditionalFormatting sqref="P91">
    <cfRule type="cellIs" dxfId="1779" priority="318" stopIfTrue="1" operator="equal">
      <formula>"INPUT STARTER IN COLUMN D"</formula>
    </cfRule>
  </conditionalFormatting>
  <conditionalFormatting sqref="P92">
    <cfRule type="cellIs" dxfId="1778" priority="317" stopIfTrue="1" operator="equal">
      <formula>"INPUT STARTER IN COLUMN D"</formula>
    </cfRule>
  </conditionalFormatting>
  <conditionalFormatting sqref="P93">
    <cfRule type="cellIs" dxfId="1777" priority="316" stopIfTrue="1" operator="equal">
      <formula>"INPUT STARTER IN COLUMN D"</formula>
    </cfRule>
  </conditionalFormatting>
  <conditionalFormatting sqref="P94">
    <cfRule type="cellIs" dxfId="1776" priority="315" stopIfTrue="1" operator="equal">
      <formula>"INPUT STARTER IN COLUMN D"</formula>
    </cfRule>
  </conditionalFormatting>
  <conditionalFormatting sqref="P95">
    <cfRule type="cellIs" dxfId="1775" priority="314" stopIfTrue="1" operator="equal">
      <formula>"INPUT STARTER IN COLUMN D"</formula>
    </cfRule>
  </conditionalFormatting>
  <conditionalFormatting sqref="P96">
    <cfRule type="cellIs" dxfId="1774" priority="313" stopIfTrue="1" operator="equal">
      <formula>"INPUT STARTER IN COLUMN D"</formula>
    </cfRule>
  </conditionalFormatting>
  <conditionalFormatting sqref="P97">
    <cfRule type="cellIs" dxfId="1773" priority="312" stopIfTrue="1" operator="equal">
      <formula>"INPUT STARTER IN COLUMN D"</formula>
    </cfRule>
  </conditionalFormatting>
  <conditionalFormatting sqref="P98">
    <cfRule type="cellIs" dxfId="1772" priority="311" stopIfTrue="1" operator="equal">
      <formula>"INPUT STARTER IN COLUMN D"</formula>
    </cfRule>
  </conditionalFormatting>
  <conditionalFormatting sqref="P99">
    <cfRule type="cellIs" dxfId="1771" priority="310" stopIfTrue="1" operator="equal">
      <formula>"INPUT STARTER IN COLUMN D"</formula>
    </cfRule>
  </conditionalFormatting>
  <conditionalFormatting sqref="P100">
    <cfRule type="cellIs" dxfId="1770" priority="309" stopIfTrue="1" operator="equal">
      <formula>"INPUT STARTER IN COLUMN D"</formula>
    </cfRule>
  </conditionalFormatting>
  <conditionalFormatting sqref="P101">
    <cfRule type="cellIs" dxfId="1769" priority="308" stopIfTrue="1" operator="equal">
      <formula>"INPUT STARTER IN COLUMN D"</formula>
    </cfRule>
  </conditionalFormatting>
  <conditionalFormatting sqref="P102">
    <cfRule type="cellIs" dxfId="1768" priority="307" stopIfTrue="1" operator="equal">
      <formula>"INPUT STARTER IN COLUMN D"</formula>
    </cfRule>
  </conditionalFormatting>
  <conditionalFormatting sqref="P106">
    <cfRule type="cellIs" dxfId="1767" priority="306" stopIfTrue="1" operator="equal">
      <formula>"INPUT STARTER IN COLUMN D"</formula>
    </cfRule>
  </conditionalFormatting>
  <conditionalFormatting sqref="P107">
    <cfRule type="cellIs" dxfId="1766" priority="305" stopIfTrue="1" operator="equal">
      <formula>"INPUT STARTER IN COLUMN D"</formula>
    </cfRule>
  </conditionalFormatting>
  <conditionalFormatting sqref="P108">
    <cfRule type="cellIs" dxfId="1765" priority="304" stopIfTrue="1" operator="equal">
      <formula>"INPUT STARTER IN COLUMN D"</formula>
    </cfRule>
  </conditionalFormatting>
  <conditionalFormatting sqref="P109">
    <cfRule type="cellIs" dxfId="1764" priority="303" stopIfTrue="1" operator="equal">
      <formula>"INPUT STARTER IN COLUMN D"</formula>
    </cfRule>
  </conditionalFormatting>
  <conditionalFormatting sqref="P110">
    <cfRule type="cellIs" dxfId="1763" priority="302" stopIfTrue="1" operator="equal">
      <formula>"INPUT STARTER IN COLUMN D"</formula>
    </cfRule>
  </conditionalFormatting>
  <conditionalFormatting sqref="P111">
    <cfRule type="cellIs" dxfId="1762" priority="301" stopIfTrue="1" operator="equal">
      <formula>"INPUT STARTER IN COLUMN D"</formula>
    </cfRule>
  </conditionalFormatting>
  <conditionalFormatting sqref="P112">
    <cfRule type="cellIs" dxfId="1761" priority="300" stopIfTrue="1" operator="equal">
      <formula>"INPUT STARTER IN COLUMN D"</formula>
    </cfRule>
  </conditionalFormatting>
  <conditionalFormatting sqref="P113">
    <cfRule type="cellIs" dxfId="1760" priority="299" stopIfTrue="1" operator="equal">
      <formula>"INPUT STARTER IN COLUMN D"</formula>
    </cfRule>
  </conditionalFormatting>
  <conditionalFormatting sqref="P114">
    <cfRule type="cellIs" dxfId="1759" priority="298" stopIfTrue="1" operator="equal">
      <formula>"INPUT STARTER IN COLUMN D"</formula>
    </cfRule>
  </conditionalFormatting>
  <conditionalFormatting sqref="P115">
    <cfRule type="cellIs" dxfId="1758" priority="297" stopIfTrue="1" operator="equal">
      <formula>"INPUT STARTER IN COLUMN D"</formula>
    </cfRule>
  </conditionalFormatting>
  <conditionalFormatting sqref="P116">
    <cfRule type="cellIs" dxfId="1757" priority="296" stopIfTrue="1" operator="equal">
      <formula>"INPUT STARTER IN COLUMN D"</formula>
    </cfRule>
  </conditionalFormatting>
  <conditionalFormatting sqref="P117">
    <cfRule type="cellIs" dxfId="1756" priority="295" stopIfTrue="1" operator="equal">
      <formula>"INPUT STARTER IN COLUMN D"</formula>
    </cfRule>
  </conditionalFormatting>
  <conditionalFormatting sqref="P118">
    <cfRule type="cellIs" dxfId="1755" priority="294" stopIfTrue="1" operator="equal">
      <formula>"INPUT STARTER IN COLUMN D"</formula>
    </cfRule>
  </conditionalFormatting>
  <conditionalFormatting sqref="P119">
    <cfRule type="cellIs" dxfId="1754" priority="293" stopIfTrue="1" operator="equal">
      <formula>"INPUT STARTER IN COLUMN D"</formula>
    </cfRule>
  </conditionalFormatting>
  <conditionalFormatting sqref="P120">
    <cfRule type="cellIs" dxfId="1753" priority="292" stopIfTrue="1" operator="equal">
      <formula>"INPUT STARTER IN COLUMN D"</formula>
    </cfRule>
  </conditionalFormatting>
  <conditionalFormatting sqref="P121">
    <cfRule type="cellIs" dxfId="1752" priority="291" stopIfTrue="1" operator="equal">
      <formula>"INPUT STARTER IN COLUMN D"</formula>
    </cfRule>
  </conditionalFormatting>
  <conditionalFormatting sqref="P122">
    <cfRule type="cellIs" dxfId="1751" priority="290" stopIfTrue="1" operator="equal">
      <formula>"INPUT STARTER IN COLUMN D"</formula>
    </cfRule>
  </conditionalFormatting>
  <conditionalFormatting sqref="P123">
    <cfRule type="cellIs" dxfId="1750" priority="289" stopIfTrue="1" operator="equal">
      <formula>"INPUT STARTER IN COLUMN D"</formula>
    </cfRule>
  </conditionalFormatting>
  <conditionalFormatting sqref="P125">
    <cfRule type="cellIs" dxfId="1749" priority="288" stopIfTrue="1" operator="equal">
      <formula>"INPUT STARTER IN COLUMN D"</formula>
    </cfRule>
  </conditionalFormatting>
  <conditionalFormatting sqref="P126">
    <cfRule type="cellIs" dxfId="1748" priority="287" stopIfTrue="1" operator="equal">
      <formula>"INPUT STARTER IN COLUMN D"</formula>
    </cfRule>
  </conditionalFormatting>
  <conditionalFormatting sqref="P127">
    <cfRule type="cellIs" dxfId="1747" priority="286" stopIfTrue="1" operator="equal">
      <formula>"INPUT STARTER IN COLUMN D"</formula>
    </cfRule>
  </conditionalFormatting>
  <conditionalFormatting sqref="P128">
    <cfRule type="cellIs" dxfId="1746" priority="285" stopIfTrue="1" operator="equal">
      <formula>"INPUT STARTER IN COLUMN D"</formula>
    </cfRule>
  </conditionalFormatting>
  <conditionalFormatting sqref="P129">
    <cfRule type="cellIs" dxfId="1745" priority="284" stopIfTrue="1" operator="equal">
      <formula>"INPUT STARTER IN COLUMN D"</formula>
    </cfRule>
  </conditionalFormatting>
  <conditionalFormatting sqref="P130">
    <cfRule type="cellIs" dxfId="1744" priority="283" stopIfTrue="1" operator="equal">
      <formula>"INPUT STARTER IN COLUMN D"</formula>
    </cfRule>
  </conditionalFormatting>
  <conditionalFormatting sqref="P131">
    <cfRule type="cellIs" dxfId="1743" priority="282" stopIfTrue="1" operator="equal">
      <formula>"INPUT STARTER IN COLUMN D"</formula>
    </cfRule>
  </conditionalFormatting>
  <conditionalFormatting sqref="P132">
    <cfRule type="cellIs" dxfId="1742" priority="281" stopIfTrue="1" operator="equal">
      <formula>"INPUT STARTER IN COLUMN D"</formula>
    </cfRule>
  </conditionalFormatting>
  <conditionalFormatting sqref="P133">
    <cfRule type="cellIs" dxfId="1741" priority="280" stopIfTrue="1" operator="equal">
      <formula>"INPUT STARTER IN COLUMN D"</formula>
    </cfRule>
  </conditionalFormatting>
  <conditionalFormatting sqref="P134">
    <cfRule type="cellIs" dxfId="1740" priority="279" stopIfTrue="1" operator="equal">
      <formula>"INPUT STARTER IN COLUMN D"</formula>
    </cfRule>
  </conditionalFormatting>
  <conditionalFormatting sqref="P135">
    <cfRule type="cellIs" dxfId="1739" priority="278" stopIfTrue="1" operator="equal">
      <formula>"INPUT STARTER IN COLUMN D"</formula>
    </cfRule>
  </conditionalFormatting>
  <conditionalFormatting sqref="P136">
    <cfRule type="cellIs" dxfId="1738" priority="277" stopIfTrue="1" operator="equal">
      <formula>"INPUT STARTER IN COLUMN D"</formula>
    </cfRule>
  </conditionalFormatting>
  <conditionalFormatting sqref="P137">
    <cfRule type="cellIs" dxfId="1737" priority="276" stopIfTrue="1" operator="equal">
      <formula>"INPUT STARTER IN COLUMN D"</formula>
    </cfRule>
  </conditionalFormatting>
  <conditionalFormatting sqref="P139">
    <cfRule type="cellIs" dxfId="1736" priority="275" stopIfTrue="1" operator="equal">
      <formula>"INPUT STARTER IN COLUMN D"</formula>
    </cfRule>
  </conditionalFormatting>
  <conditionalFormatting sqref="P140">
    <cfRule type="cellIs" dxfId="1735" priority="274" stopIfTrue="1" operator="equal">
      <formula>"INPUT STARTER IN COLUMN D"</formula>
    </cfRule>
  </conditionalFormatting>
  <conditionalFormatting sqref="P141">
    <cfRule type="cellIs" dxfId="1734" priority="273" stopIfTrue="1" operator="equal">
      <formula>"INPUT STARTER IN COLUMN D"</formula>
    </cfRule>
  </conditionalFormatting>
  <conditionalFormatting sqref="P142">
    <cfRule type="cellIs" dxfId="1733" priority="272" stopIfTrue="1" operator="equal">
      <formula>"INPUT STARTER IN COLUMN D"</formula>
    </cfRule>
  </conditionalFormatting>
  <conditionalFormatting sqref="P143">
    <cfRule type="cellIs" dxfId="1732" priority="271" stopIfTrue="1" operator="equal">
      <formula>"INPUT STARTER IN COLUMN D"</formula>
    </cfRule>
  </conditionalFormatting>
  <conditionalFormatting sqref="P144">
    <cfRule type="cellIs" dxfId="1731" priority="270" stopIfTrue="1" operator="equal">
      <formula>"INPUT STARTER IN COLUMN D"</formula>
    </cfRule>
  </conditionalFormatting>
  <conditionalFormatting sqref="P145">
    <cfRule type="cellIs" dxfId="1730" priority="269" stopIfTrue="1" operator="equal">
      <formula>"INPUT STARTER IN COLUMN D"</formula>
    </cfRule>
  </conditionalFormatting>
  <conditionalFormatting sqref="P146">
    <cfRule type="cellIs" dxfId="1729" priority="268" stopIfTrue="1" operator="equal">
      <formula>"INPUT STARTER IN COLUMN D"</formula>
    </cfRule>
  </conditionalFormatting>
  <conditionalFormatting sqref="P147">
    <cfRule type="cellIs" dxfId="1728" priority="267" stopIfTrue="1" operator="equal">
      <formula>"INPUT STARTER IN COLUMN D"</formula>
    </cfRule>
  </conditionalFormatting>
  <conditionalFormatting sqref="P148">
    <cfRule type="cellIs" dxfId="1727" priority="266" stopIfTrue="1" operator="equal">
      <formula>"INPUT STARTER IN COLUMN D"</formula>
    </cfRule>
  </conditionalFormatting>
  <conditionalFormatting sqref="P149">
    <cfRule type="cellIs" dxfId="1726" priority="265" stopIfTrue="1" operator="equal">
      <formula>"INPUT STARTER IN COLUMN D"</formula>
    </cfRule>
  </conditionalFormatting>
  <conditionalFormatting sqref="P150">
    <cfRule type="cellIs" dxfId="1725" priority="264" stopIfTrue="1" operator="equal">
      <formula>"INPUT STARTER IN COLUMN D"</formula>
    </cfRule>
  </conditionalFormatting>
  <conditionalFormatting sqref="P151">
    <cfRule type="cellIs" dxfId="1724" priority="263" stopIfTrue="1" operator="equal">
      <formula>"INPUT STARTER IN COLUMN D"</formula>
    </cfRule>
  </conditionalFormatting>
  <conditionalFormatting sqref="P152">
    <cfRule type="cellIs" dxfId="1723" priority="262" stopIfTrue="1" operator="equal">
      <formula>"INPUT STARTER IN COLUMN D"</formula>
    </cfRule>
  </conditionalFormatting>
  <conditionalFormatting sqref="P153">
    <cfRule type="cellIs" dxfId="1722" priority="261" stopIfTrue="1" operator="equal">
      <formula>"INPUT STARTER IN COLUMN D"</formula>
    </cfRule>
  </conditionalFormatting>
  <conditionalFormatting sqref="P154">
    <cfRule type="cellIs" dxfId="1721" priority="260" stopIfTrue="1" operator="equal">
      <formula>"INPUT STARTER IN COLUMN D"</formula>
    </cfRule>
  </conditionalFormatting>
  <conditionalFormatting sqref="P155">
    <cfRule type="cellIs" dxfId="1720" priority="259" stopIfTrue="1" operator="equal">
      <formula>"INPUT STARTER IN COLUMN D"</formula>
    </cfRule>
  </conditionalFormatting>
  <conditionalFormatting sqref="P157">
    <cfRule type="cellIs" dxfId="1719" priority="258" stopIfTrue="1" operator="equal">
      <formula>"INPUT STARTER IN COLUMN D"</formula>
    </cfRule>
  </conditionalFormatting>
  <conditionalFormatting sqref="P158">
    <cfRule type="cellIs" dxfId="1718" priority="257" stopIfTrue="1" operator="equal">
      <formula>"INPUT STARTER IN COLUMN D"</formula>
    </cfRule>
  </conditionalFormatting>
  <conditionalFormatting sqref="P159">
    <cfRule type="cellIs" dxfId="1717" priority="256" stopIfTrue="1" operator="equal">
      <formula>"INPUT STARTER IN COLUMN D"</formula>
    </cfRule>
  </conditionalFormatting>
  <conditionalFormatting sqref="P160">
    <cfRule type="cellIs" dxfId="1716" priority="255" stopIfTrue="1" operator="equal">
      <formula>"INPUT STARTER IN COLUMN D"</formula>
    </cfRule>
  </conditionalFormatting>
  <conditionalFormatting sqref="P161">
    <cfRule type="cellIs" dxfId="1715" priority="254" stopIfTrue="1" operator="equal">
      <formula>"INPUT STARTER IN COLUMN D"</formula>
    </cfRule>
  </conditionalFormatting>
  <conditionalFormatting sqref="P162">
    <cfRule type="cellIs" dxfId="1714" priority="253" stopIfTrue="1" operator="equal">
      <formula>"INPUT STARTER IN COLUMN D"</formula>
    </cfRule>
  </conditionalFormatting>
  <conditionalFormatting sqref="P163">
    <cfRule type="cellIs" dxfId="1713" priority="252" stopIfTrue="1" operator="equal">
      <formula>"INPUT STARTER IN COLUMN D"</formula>
    </cfRule>
  </conditionalFormatting>
  <conditionalFormatting sqref="P165">
    <cfRule type="cellIs" dxfId="1712" priority="251" stopIfTrue="1" operator="equal">
      <formula>"INPUT STARTER IN COLUMN D"</formula>
    </cfRule>
  </conditionalFormatting>
  <conditionalFormatting sqref="P166">
    <cfRule type="cellIs" dxfId="1711" priority="250" stopIfTrue="1" operator="equal">
      <formula>"INPUT STARTER IN COLUMN D"</formula>
    </cfRule>
  </conditionalFormatting>
  <conditionalFormatting sqref="P167">
    <cfRule type="cellIs" dxfId="1710" priority="249" stopIfTrue="1" operator="equal">
      <formula>"INPUT STARTER IN COLUMN D"</formula>
    </cfRule>
  </conditionalFormatting>
  <conditionalFormatting sqref="P168">
    <cfRule type="cellIs" dxfId="1709" priority="248" stopIfTrue="1" operator="equal">
      <formula>"INPUT STARTER IN COLUMN D"</formula>
    </cfRule>
  </conditionalFormatting>
  <conditionalFormatting sqref="P169">
    <cfRule type="cellIs" dxfId="1708" priority="247" stopIfTrue="1" operator="equal">
      <formula>"INPUT STARTER IN COLUMN D"</formula>
    </cfRule>
  </conditionalFormatting>
  <conditionalFormatting sqref="P170">
    <cfRule type="cellIs" dxfId="1707" priority="246" stopIfTrue="1" operator="equal">
      <formula>"INPUT STARTER IN COLUMN D"</formula>
    </cfRule>
  </conditionalFormatting>
  <conditionalFormatting sqref="P171">
    <cfRule type="cellIs" dxfId="1706" priority="245" stopIfTrue="1" operator="equal">
      <formula>"INPUT STARTER IN COLUMN D"</formula>
    </cfRule>
  </conditionalFormatting>
  <conditionalFormatting sqref="P172">
    <cfRule type="cellIs" dxfId="1705" priority="244" stopIfTrue="1" operator="equal">
      <formula>"INPUT STARTER IN COLUMN D"</formula>
    </cfRule>
  </conditionalFormatting>
  <conditionalFormatting sqref="P173">
    <cfRule type="cellIs" dxfId="1704" priority="243" stopIfTrue="1" operator="equal">
      <formula>"INPUT STARTER IN COLUMN D"</formula>
    </cfRule>
  </conditionalFormatting>
  <conditionalFormatting sqref="P174">
    <cfRule type="cellIs" dxfId="1703" priority="242" stopIfTrue="1" operator="equal">
      <formula>"INPUT STARTER IN COLUMN D"</formula>
    </cfRule>
  </conditionalFormatting>
  <conditionalFormatting sqref="P176">
    <cfRule type="cellIs" dxfId="1702" priority="241" stopIfTrue="1" operator="equal">
      <formula>"INPUT STARTER IN COLUMN D"</formula>
    </cfRule>
  </conditionalFormatting>
  <conditionalFormatting sqref="P177">
    <cfRule type="cellIs" dxfId="1701" priority="240" stopIfTrue="1" operator="equal">
      <formula>"INPUT STARTER IN COLUMN D"</formula>
    </cfRule>
  </conditionalFormatting>
  <conditionalFormatting sqref="P178">
    <cfRule type="cellIs" dxfId="1700" priority="239" stopIfTrue="1" operator="equal">
      <formula>"INPUT STARTER IN COLUMN D"</formula>
    </cfRule>
  </conditionalFormatting>
  <conditionalFormatting sqref="P179">
    <cfRule type="cellIs" dxfId="1699" priority="238" stopIfTrue="1" operator="equal">
      <formula>"INPUT STARTER IN COLUMN D"</formula>
    </cfRule>
  </conditionalFormatting>
  <conditionalFormatting sqref="P180">
    <cfRule type="cellIs" dxfId="1698" priority="237" stopIfTrue="1" operator="equal">
      <formula>"INPUT STARTER IN COLUMN D"</formula>
    </cfRule>
  </conditionalFormatting>
  <conditionalFormatting sqref="P181">
    <cfRule type="cellIs" dxfId="1697" priority="236" stopIfTrue="1" operator="equal">
      <formula>"INPUT STARTER IN COLUMN D"</formula>
    </cfRule>
  </conditionalFormatting>
  <conditionalFormatting sqref="P182">
    <cfRule type="cellIs" dxfId="1696" priority="235" stopIfTrue="1" operator="equal">
      <formula>"INPUT STARTER IN COLUMN D"</formula>
    </cfRule>
  </conditionalFormatting>
  <conditionalFormatting sqref="P183">
    <cfRule type="cellIs" dxfId="1695" priority="234" stopIfTrue="1" operator="equal">
      <formula>"INPUT STARTER IN COLUMN D"</formula>
    </cfRule>
  </conditionalFormatting>
  <conditionalFormatting sqref="P184">
    <cfRule type="cellIs" dxfId="1694" priority="233" stopIfTrue="1" operator="equal">
      <formula>"INPUT STARTER IN COLUMN D"</formula>
    </cfRule>
  </conditionalFormatting>
  <conditionalFormatting sqref="P185">
    <cfRule type="cellIs" dxfId="1693" priority="232" stopIfTrue="1" operator="equal">
      <formula>"INPUT STARTER IN COLUMN D"</formula>
    </cfRule>
  </conditionalFormatting>
  <conditionalFormatting sqref="AK3:AK22">
    <cfRule type="cellIs" dxfId="1692" priority="231" stopIfTrue="1" operator="equal">
      <formula>"must average at least 5 innings per start"</formula>
    </cfRule>
  </conditionalFormatting>
  <conditionalFormatting sqref="AK23">
    <cfRule type="cellIs" dxfId="1691" priority="230" stopIfTrue="1" operator="equal">
      <formula>"must have 162 starts"</formula>
    </cfRule>
  </conditionalFormatting>
  <conditionalFormatting sqref="AH3:AH22">
    <cfRule type="cellIs" dxfId="1690" priority="229" stopIfTrue="1" operator="equal">
      <formula>"must average at least 5 innings per start"</formula>
    </cfRule>
  </conditionalFormatting>
  <conditionalFormatting sqref="AH23">
    <cfRule type="cellIs" dxfId="1689" priority="228" stopIfTrue="1" operator="equal">
      <formula>"must have 162 starts"</formula>
    </cfRule>
  </conditionalFormatting>
  <conditionalFormatting sqref="AG3:AG22">
    <cfRule type="cellIs" dxfId="1688" priority="227" stopIfTrue="1" operator="equal">
      <formula>"must average at least 5 innings per start"</formula>
    </cfRule>
  </conditionalFormatting>
  <conditionalFormatting sqref="AG23">
    <cfRule type="cellIs" dxfId="1687" priority="226" stopIfTrue="1" operator="equal">
      <formula>"must have 162 starts"</formula>
    </cfRule>
  </conditionalFormatting>
  <conditionalFormatting sqref="AK3:AK22">
    <cfRule type="cellIs" dxfId="1686" priority="225" stopIfTrue="1" operator="equal">
      <formula>"must average at least 5 innings per start"</formula>
    </cfRule>
  </conditionalFormatting>
  <conditionalFormatting sqref="AK23">
    <cfRule type="cellIs" dxfId="1685" priority="224" stopIfTrue="1" operator="equal">
      <formula>"must have 162 starts"</formula>
    </cfRule>
  </conditionalFormatting>
  <conditionalFormatting sqref="AH3:AH22">
    <cfRule type="cellIs" dxfId="1684" priority="223" stopIfTrue="1" operator="equal">
      <formula>"must average at least 5 innings per start"</formula>
    </cfRule>
  </conditionalFormatting>
  <conditionalFormatting sqref="AH23">
    <cfRule type="cellIs" dxfId="1683" priority="222" stopIfTrue="1" operator="equal">
      <formula>"must have 162 starts"</formula>
    </cfRule>
  </conditionalFormatting>
  <conditionalFormatting sqref="AG3:AG22">
    <cfRule type="cellIs" dxfId="1682" priority="221" stopIfTrue="1" operator="equal">
      <formula>"must average at least 5 innings per start"</formula>
    </cfRule>
  </conditionalFormatting>
  <conditionalFormatting sqref="AG23">
    <cfRule type="cellIs" dxfId="1681" priority="220" stopIfTrue="1" operator="equal">
      <formula>"must have 162 starts"</formula>
    </cfRule>
  </conditionalFormatting>
  <conditionalFormatting sqref="AK3:AK22">
    <cfRule type="cellIs" dxfId="1680" priority="219" stopIfTrue="1" operator="equal">
      <formula>"must average at least 5 innings per start"</formula>
    </cfRule>
  </conditionalFormatting>
  <conditionalFormatting sqref="AK23">
    <cfRule type="cellIs" dxfId="1679" priority="218" stopIfTrue="1" operator="equal">
      <formula>"must have 162 starts"</formula>
    </cfRule>
  </conditionalFormatting>
  <conditionalFormatting sqref="AH3:AH22">
    <cfRule type="cellIs" dxfId="1678" priority="217" stopIfTrue="1" operator="equal">
      <formula>"must average at least 5 innings per start"</formula>
    </cfRule>
  </conditionalFormatting>
  <conditionalFormatting sqref="AH23">
    <cfRule type="cellIs" dxfId="1677" priority="216" stopIfTrue="1" operator="equal">
      <formula>"must have 162 starts"</formula>
    </cfRule>
  </conditionalFormatting>
  <conditionalFormatting sqref="AG3:AG22">
    <cfRule type="cellIs" dxfId="1676" priority="215" stopIfTrue="1" operator="equal">
      <formula>"must average at least 5 innings per start"</formula>
    </cfRule>
  </conditionalFormatting>
  <conditionalFormatting sqref="AG23">
    <cfRule type="cellIs" dxfId="1675" priority="214" stopIfTrue="1" operator="equal">
      <formula>"must have 162 starts"</formula>
    </cfRule>
  </conditionalFormatting>
  <conditionalFormatting sqref="AK3:AK22">
    <cfRule type="cellIs" dxfId="1674" priority="213" stopIfTrue="1" operator="equal">
      <formula>"must average at least 5 innings per start"</formula>
    </cfRule>
  </conditionalFormatting>
  <conditionalFormatting sqref="AK23">
    <cfRule type="cellIs" dxfId="1673" priority="212" stopIfTrue="1" operator="equal">
      <formula>"must have 162 starts"</formula>
    </cfRule>
  </conditionalFormatting>
  <conditionalFormatting sqref="AH3:AH22">
    <cfRule type="cellIs" dxfId="1672" priority="211" stopIfTrue="1" operator="equal">
      <formula>"must average at least 5 innings per start"</formula>
    </cfRule>
  </conditionalFormatting>
  <conditionalFormatting sqref="AH23">
    <cfRule type="cellIs" dxfId="1671" priority="210" stopIfTrue="1" operator="equal">
      <formula>"must have 162 starts"</formula>
    </cfRule>
  </conditionalFormatting>
  <conditionalFormatting sqref="AG3:AG22">
    <cfRule type="cellIs" dxfId="1670" priority="209" stopIfTrue="1" operator="equal">
      <formula>"must average at least 5 innings per start"</formula>
    </cfRule>
  </conditionalFormatting>
  <conditionalFormatting sqref="AG23">
    <cfRule type="cellIs" dxfId="1669" priority="208" stopIfTrue="1" operator="equal">
      <formula>"must have 162 starts"</formula>
    </cfRule>
  </conditionalFormatting>
  <conditionalFormatting sqref="AK3:AK22">
    <cfRule type="cellIs" dxfId="1668" priority="207" stopIfTrue="1" operator="equal">
      <formula>"must average at least 5 innings per start"</formula>
    </cfRule>
  </conditionalFormatting>
  <conditionalFormatting sqref="AK23">
    <cfRule type="cellIs" dxfId="1667" priority="206" stopIfTrue="1" operator="equal">
      <formula>"must have 162 starts"</formula>
    </cfRule>
  </conditionalFormatting>
  <conditionalFormatting sqref="AH3:AH22">
    <cfRule type="cellIs" dxfId="1666" priority="205" stopIfTrue="1" operator="equal">
      <formula>"must average at least 5 innings per start"</formula>
    </cfRule>
  </conditionalFormatting>
  <conditionalFormatting sqref="AH23">
    <cfRule type="cellIs" dxfId="1665" priority="204" stopIfTrue="1" operator="equal">
      <formula>"must have 162 starts"</formula>
    </cfRule>
  </conditionalFormatting>
  <conditionalFormatting sqref="AG3:AG22">
    <cfRule type="cellIs" dxfId="1664" priority="203" stopIfTrue="1" operator="equal">
      <formula>"must average at least 5 innings per start"</formula>
    </cfRule>
  </conditionalFormatting>
  <conditionalFormatting sqref="AG23">
    <cfRule type="cellIs" dxfId="1663" priority="202" stopIfTrue="1" operator="equal">
      <formula>"must have 162 starts"</formula>
    </cfRule>
  </conditionalFormatting>
  <conditionalFormatting sqref="AK3:AK22">
    <cfRule type="cellIs" dxfId="1662" priority="201" stopIfTrue="1" operator="equal">
      <formula>"must average at least 5 innings per start"</formula>
    </cfRule>
  </conditionalFormatting>
  <conditionalFormatting sqref="AK23">
    <cfRule type="cellIs" dxfId="1661" priority="200" stopIfTrue="1" operator="equal">
      <formula>"must have 162 starts"</formula>
    </cfRule>
  </conditionalFormatting>
  <conditionalFormatting sqref="AH3:AH22">
    <cfRule type="cellIs" dxfId="1660" priority="199" stopIfTrue="1" operator="equal">
      <formula>"must average at least 5 innings per start"</formula>
    </cfRule>
  </conditionalFormatting>
  <conditionalFormatting sqref="AH23">
    <cfRule type="cellIs" dxfId="1659" priority="198" stopIfTrue="1" operator="equal">
      <formula>"must have 162 starts"</formula>
    </cfRule>
  </conditionalFormatting>
  <conditionalFormatting sqref="AG3:AG22">
    <cfRule type="cellIs" dxfId="1658" priority="197" stopIfTrue="1" operator="equal">
      <formula>"must average at least 5 innings per start"</formula>
    </cfRule>
  </conditionalFormatting>
  <conditionalFormatting sqref="AG23">
    <cfRule type="cellIs" dxfId="1657" priority="196" stopIfTrue="1" operator="equal">
      <formula>"must have 162 starts"</formula>
    </cfRule>
  </conditionalFormatting>
  <conditionalFormatting sqref="AK3:AK22">
    <cfRule type="cellIs" dxfId="1656" priority="195" stopIfTrue="1" operator="equal">
      <formula>"must average at least 5 innings per start"</formula>
    </cfRule>
  </conditionalFormatting>
  <conditionalFormatting sqref="AK23">
    <cfRule type="cellIs" dxfId="1655" priority="194" stopIfTrue="1" operator="equal">
      <formula>"must have 162 starts"</formula>
    </cfRule>
  </conditionalFormatting>
  <conditionalFormatting sqref="AH3:AH22">
    <cfRule type="cellIs" dxfId="1654" priority="193" stopIfTrue="1" operator="equal">
      <formula>"must average at least 5 innings per start"</formula>
    </cfRule>
  </conditionalFormatting>
  <conditionalFormatting sqref="AH23">
    <cfRule type="cellIs" dxfId="1653" priority="192" stopIfTrue="1" operator="equal">
      <formula>"must have 162 starts"</formula>
    </cfRule>
  </conditionalFormatting>
  <conditionalFormatting sqref="AG3:AG22">
    <cfRule type="cellIs" dxfId="1652" priority="191" stopIfTrue="1" operator="equal">
      <formula>"must average at least 5 innings per start"</formula>
    </cfRule>
  </conditionalFormatting>
  <conditionalFormatting sqref="AG23">
    <cfRule type="cellIs" dxfId="1651" priority="190" stopIfTrue="1" operator="equal">
      <formula>"must have 162 starts"</formula>
    </cfRule>
  </conditionalFormatting>
  <conditionalFormatting sqref="AK3:AK22">
    <cfRule type="cellIs" dxfId="1650" priority="189" stopIfTrue="1" operator="equal">
      <formula>"must average at least 5 innings per start"</formula>
    </cfRule>
  </conditionalFormatting>
  <conditionalFormatting sqref="AK23">
    <cfRule type="cellIs" dxfId="1649" priority="188" stopIfTrue="1" operator="equal">
      <formula>"must have 162 starts"</formula>
    </cfRule>
  </conditionalFormatting>
  <conditionalFormatting sqref="AH3:AH22">
    <cfRule type="cellIs" dxfId="1648" priority="187" stopIfTrue="1" operator="equal">
      <formula>"must average at least 5 innings per start"</formula>
    </cfRule>
  </conditionalFormatting>
  <conditionalFormatting sqref="AH23">
    <cfRule type="cellIs" dxfId="1647" priority="186" stopIfTrue="1" operator="equal">
      <formula>"must have 162 starts"</formula>
    </cfRule>
  </conditionalFormatting>
  <conditionalFormatting sqref="AG3:AG22">
    <cfRule type="cellIs" dxfId="1646" priority="185" stopIfTrue="1" operator="equal">
      <formula>"must average at least 5 innings per start"</formula>
    </cfRule>
  </conditionalFormatting>
  <conditionalFormatting sqref="AG23">
    <cfRule type="cellIs" dxfId="1645" priority="184" stopIfTrue="1" operator="equal">
      <formula>"must have 162 starts"</formula>
    </cfRule>
  </conditionalFormatting>
  <conditionalFormatting sqref="AK3:AK22">
    <cfRule type="cellIs" dxfId="1644" priority="183" stopIfTrue="1" operator="equal">
      <formula>"must average at least 5 innings per start"</formula>
    </cfRule>
  </conditionalFormatting>
  <conditionalFormatting sqref="AK23">
    <cfRule type="cellIs" dxfId="1643" priority="182" stopIfTrue="1" operator="equal">
      <formula>"must have 162 starts"</formula>
    </cfRule>
  </conditionalFormatting>
  <conditionalFormatting sqref="AH3:AH22">
    <cfRule type="cellIs" dxfId="1642" priority="181" stopIfTrue="1" operator="equal">
      <formula>"must average at least 5 innings per start"</formula>
    </cfRule>
  </conditionalFormatting>
  <conditionalFormatting sqref="AH23">
    <cfRule type="cellIs" dxfId="1641" priority="180" stopIfTrue="1" operator="equal">
      <formula>"must have 162 starts"</formula>
    </cfRule>
  </conditionalFormatting>
  <conditionalFormatting sqref="AG3:AG22">
    <cfRule type="cellIs" dxfId="1640" priority="179" stopIfTrue="1" operator="equal">
      <formula>"must average at least 5 innings per start"</formula>
    </cfRule>
  </conditionalFormatting>
  <conditionalFormatting sqref="AG23">
    <cfRule type="cellIs" dxfId="1639" priority="178" stopIfTrue="1" operator="equal">
      <formula>"must have 162 starts"</formula>
    </cfRule>
  </conditionalFormatting>
  <conditionalFormatting sqref="AK3:AK22">
    <cfRule type="cellIs" dxfId="1638" priority="177" stopIfTrue="1" operator="equal">
      <formula>"must average at least 5 innings per start"</formula>
    </cfRule>
  </conditionalFormatting>
  <conditionalFormatting sqref="AK23">
    <cfRule type="cellIs" dxfId="1637" priority="176" stopIfTrue="1" operator="equal">
      <formula>"must have 162 starts"</formula>
    </cfRule>
  </conditionalFormatting>
  <conditionalFormatting sqref="AH3:AH22">
    <cfRule type="cellIs" dxfId="1636" priority="175" stopIfTrue="1" operator="equal">
      <formula>"must average at least 5 innings per start"</formula>
    </cfRule>
  </conditionalFormatting>
  <conditionalFormatting sqref="AH23">
    <cfRule type="cellIs" dxfId="1635" priority="174" stopIfTrue="1" operator="equal">
      <formula>"must have 162 starts"</formula>
    </cfRule>
  </conditionalFormatting>
  <conditionalFormatting sqref="AG3:AG22">
    <cfRule type="cellIs" dxfId="1634" priority="173" stopIfTrue="1" operator="equal">
      <formula>"must average at least 5 innings per start"</formula>
    </cfRule>
  </conditionalFormatting>
  <conditionalFormatting sqref="AG23">
    <cfRule type="cellIs" dxfId="1633" priority="172" stopIfTrue="1" operator="equal">
      <formula>"must have 162 starts"</formula>
    </cfRule>
  </conditionalFormatting>
  <conditionalFormatting sqref="AK3:AK22">
    <cfRule type="cellIs" dxfId="1632" priority="171" stopIfTrue="1" operator="equal">
      <formula>"must average at least 5 innings per start"</formula>
    </cfRule>
  </conditionalFormatting>
  <conditionalFormatting sqref="AK23">
    <cfRule type="cellIs" dxfId="1631" priority="170" stopIfTrue="1" operator="equal">
      <formula>"must have 162 starts"</formula>
    </cfRule>
  </conditionalFormatting>
  <conditionalFormatting sqref="AH3:AH22">
    <cfRule type="cellIs" dxfId="1630" priority="169" stopIfTrue="1" operator="equal">
      <formula>"must average at least 5 innings per start"</formula>
    </cfRule>
  </conditionalFormatting>
  <conditionalFormatting sqref="AH23">
    <cfRule type="cellIs" dxfId="1629" priority="168" stopIfTrue="1" operator="equal">
      <formula>"must have 162 starts"</formula>
    </cfRule>
  </conditionalFormatting>
  <conditionalFormatting sqref="AG3:AG22">
    <cfRule type="cellIs" dxfId="1628" priority="167" stopIfTrue="1" operator="equal">
      <formula>"must average at least 5 innings per start"</formula>
    </cfRule>
  </conditionalFormatting>
  <conditionalFormatting sqref="AG23">
    <cfRule type="cellIs" dxfId="1627" priority="166" stopIfTrue="1" operator="equal">
      <formula>"must have 162 starts"</formula>
    </cfRule>
  </conditionalFormatting>
  <conditionalFormatting sqref="AK3:AK22">
    <cfRule type="cellIs" dxfId="1626" priority="165" stopIfTrue="1" operator="equal">
      <formula>"must average at least 5 innings per start"</formula>
    </cfRule>
  </conditionalFormatting>
  <conditionalFormatting sqref="AK23">
    <cfRule type="cellIs" dxfId="1625" priority="164" stopIfTrue="1" operator="equal">
      <formula>"must have 162 starts"</formula>
    </cfRule>
  </conditionalFormatting>
  <conditionalFormatting sqref="AH3:AH22">
    <cfRule type="cellIs" dxfId="1624" priority="163" stopIfTrue="1" operator="equal">
      <formula>"must average at least 5 innings per start"</formula>
    </cfRule>
  </conditionalFormatting>
  <conditionalFormatting sqref="AH23">
    <cfRule type="cellIs" dxfId="1623" priority="162" stopIfTrue="1" operator="equal">
      <formula>"must have 162 starts"</formula>
    </cfRule>
  </conditionalFormatting>
  <conditionalFormatting sqref="AG3:AG22">
    <cfRule type="cellIs" dxfId="1622" priority="161" stopIfTrue="1" operator="equal">
      <formula>"must average at least 5 innings per start"</formula>
    </cfRule>
  </conditionalFormatting>
  <conditionalFormatting sqref="AG23">
    <cfRule type="cellIs" dxfId="1621" priority="160" stopIfTrue="1" operator="equal">
      <formula>"must have 162 starts"</formula>
    </cfRule>
  </conditionalFormatting>
  <conditionalFormatting sqref="AK3:AK22">
    <cfRule type="cellIs" dxfId="1620" priority="159" stopIfTrue="1" operator="equal">
      <formula>"must average at least 5 innings per start"</formula>
    </cfRule>
  </conditionalFormatting>
  <conditionalFormatting sqref="AK23">
    <cfRule type="cellIs" dxfId="1619" priority="158" stopIfTrue="1" operator="equal">
      <formula>"must have 162 starts"</formula>
    </cfRule>
  </conditionalFormatting>
  <conditionalFormatting sqref="AH3:AH22">
    <cfRule type="cellIs" dxfId="1618" priority="157" stopIfTrue="1" operator="equal">
      <formula>"must average at least 5 innings per start"</formula>
    </cfRule>
  </conditionalFormatting>
  <conditionalFormatting sqref="AH23">
    <cfRule type="cellIs" dxfId="1617" priority="156" stopIfTrue="1" operator="equal">
      <formula>"must have 162 starts"</formula>
    </cfRule>
  </conditionalFormatting>
  <conditionalFormatting sqref="AG3:AG22">
    <cfRule type="cellIs" dxfId="1616" priority="155" stopIfTrue="1" operator="equal">
      <formula>"must average at least 5 innings per start"</formula>
    </cfRule>
  </conditionalFormatting>
  <conditionalFormatting sqref="AG23">
    <cfRule type="cellIs" dxfId="1615" priority="154" stopIfTrue="1" operator="equal">
      <formula>"must have 162 starts"</formula>
    </cfRule>
  </conditionalFormatting>
  <conditionalFormatting sqref="AK3:AK22">
    <cfRule type="cellIs" dxfId="1614" priority="153" stopIfTrue="1" operator="equal">
      <formula>"must average at least 5 innings per start"</formula>
    </cfRule>
  </conditionalFormatting>
  <conditionalFormatting sqref="AK23">
    <cfRule type="cellIs" dxfId="1613" priority="152" stopIfTrue="1" operator="equal">
      <formula>"must have 162 starts"</formula>
    </cfRule>
  </conditionalFormatting>
  <conditionalFormatting sqref="AH3:AH22">
    <cfRule type="cellIs" dxfId="1612" priority="151" stopIfTrue="1" operator="equal">
      <formula>"must average at least 5 innings per start"</formula>
    </cfRule>
  </conditionalFormatting>
  <conditionalFormatting sqref="AH23">
    <cfRule type="cellIs" dxfId="1611" priority="150" stopIfTrue="1" operator="equal">
      <formula>"must have 162 starts"</formula>
    </cfRule>
  </conditionalFormatting>
  <conditionalFormatting sqref="AG3:AG22">
    <cfRule type="cellIs" dxfId="1610" priority="149" stopIfTrue="1" operator="equal">
      <formula>"must average at least 5 innings per start"</formula>
    </cfRule>
  </conditionalFormatting>
  <conditionalFormatting sqref="AG23">
    <cfRule type="cellIs" dxfId="1609" priority="148" stopIfTrue="1" operator="equal">
      <formula>"must have 162 starts"</formula>
    </cfRule>
  </conditionalFormatting>
  <conditionalFormatting sqref="AK3:AK22">
    <cfRule type="cellIs" dxfId="1608" priority="147" stopIfTrue="1" operator="equal">
      <formula>"must average at least 5 innings per start"</formula>
    </cfRule>
  </conditionalFormatting>
  <conditionalFormatting sqref="AK23">
    <cfRule type="cellIs" dxfId="1607" priority="146" stopIfTrue="1" operator="equal">
      <formula>"must have 162 starts"</formula>
    </cfRule>
  </conditionalFormatting>
  <conditionalFormatting sqref="AH3:AH22">
    <cfRule type="cellIs" dxfId="1606" priority="145" stopIfTrue="1" operator="equal">
      <formula>"must average at least 5 innings per start"</formula>
    </cfRule>
  </conditionalFormatting>
  <conditionalFormatting sqref="AH23">
    <cfRule type="cellIs" dxfId="1605" priority="144" stopIfTrue="1" operator="equal">
      <formula>"must have 162 starts"</formula>
    </cfRule>
  </conditionalFormatting>
  <conditionalFormatting sqref="AG3:AG22">
    <cfRule type="cellIs" dxfId="1604" priority="143" stopIfTrue="1" operator="equal">
      <formula>"must average at least 5 innings per start"</formula>
    </cfRule>
  </conditionalFormatting>
  <conditionalFormatting sqref="AG23">
    <cfRule type="cellIs" dxfId="1603" priority="142" stopIfTrue="1" operator="equal">
      <formula>"must have 162 starts"</formula>
    </cfRule>
  </conditionalFormatting>
  <conditionalFormatting sqref="AK3:AK22">
    <cfRule type="cellIs" dxfId="1602" priority="141" stopIfTrue="1" operator="equal">
      <formula>"must average at least 5 innings per start"</formula>
    </cfRule>
  </conditionalFormatting>
  <conditionalFormatting sqref="AK23">
    <cfRule type="cellIs" dxfId="1601" priority="140" stopIfTrue="1" operator="equal">
      <formula>"must have 162 starts"</formula>
    </cfRule>
  </conditionalFormatting>
  <conditionalFormatting sqref="AH3:AH22">
    <cfRule type="cellIs" dxfId="1600" priority="139" stopIfTrue="1" operator="equal">
      <formula>"must average at least 5 innings per start"</formula>
    </cfRule>
  </conditionalFormatting>
  <conditionalFormatting sqref="AH23">
    <cfRule type="cellIs" dxfId="1599" priority="138" stopIfTrue="1" operator="equal">
      <formula>"must have 162 starts"</formula>
    </cfRule>
  </conditionalFormatting>
  <conditionalFormatting sqref="AG3:AG22">
    <cfRule type="cellIs" dxfId="1598" priority="137" stopIfTrue="1" operator="equal">
      <formula>"must average at least 5 innings per start"</formula>
    </cfRule>
  </conditionalFormatting>
  <conditionalFormatting sqref="AG23">
    <cfRule type="cellIs" dxfId="1597" priority="136" stopIfTrue="1" operator="equal">
      <formula>"must have 162 starts"</formula>
    </cfRule>
  </conditionalFormatting>
  <conditionalFormatting sqref="AG3:AG22">
    <cfRule type="cellIs" dxfId="1596" priority="135" stopIfTrue="1" operator="equal">
      <formula>"must average at least 5 innings per start"</formula>
    </cfRule>
  </conditionalFormatting>
  <conditionalFormatting sqref="AG23">
    <cfRule type="cellIs" dxfId="1595" priority="134" stopIfTrue="1" operator="equal">
      <formula>"must have 162 starts"</formula>
    </cfRule>
  </conditionalFormatting>
  <conditionalFormatting sqref="AK3:AK22">
    <cfRule type="cellIs" dxfId="1594" priority="133" stopIfTrue="1" operator="equal">
      <formula>"must average at least 5 innings per start"</formula>
    </cfRule>
  </conditionalFormatting>
  <conditionalFormatting sqref="AK23">
    <cfRule type="cellIs" dxfId="1593" priority="132" stopIfTrue="1" operator="equal">
      <formula>"must have 162 starts"</formula>
    </cfRule>
  </conditionalFormatting>
  <conditionalFormatting sqref="AK3:AK22">
    <cfRule type="cellIs" dxfId="1592" priority="131" stopIfTrue="1" operator="equal">
      <formula>"must average at least 5 innings per start"</formula>
    </cfRule>
  </conditionalFormatting>
  <conditionalFormatting sqref="AK23">
    <cfRule type="cellIs" dxfId="1591" priority="130" stopIfTrue="1" operator="equal">
      <formula>"must have 162 starts"</formula>
    </cfRule>
  </conditionalFormatting>
  <conditionalFormatting sqref="AK3:AK22">
    <cfRule type="cellIs" dxfId="1590" priority="129" stopIfTrue="1" operator="equal">
      <formula>"must average at least 5 innings per start"</formula>
    </cfRule>
  </conditionalFormatting>
  <conditionalFormatting sqref="AK23">
    <cfRule type="cellIs" dxfId="1589" priority="128" stopIfTrue="1" operator="equal">
      <formula>"must have 162 starts"</formula>
    </cfRule>
  </conditionalFormatting>
  <conditionalFormatting sqref="AK3:AK22">
    <cfRule type="cellIs" dxfId="1588" priority="127" stopIfTrue="1" operator="equal">
      <formula>"must average at least 5 innings per start"</formula>
    </cfRule>
  </conditionalFormatting>
  <conditionalFormatting sqref="AK23">
    <cfRule type="cellIs" dxfId="1587" priority="126" stopIfTrue="1" operator="equal">
      <formula>"must have 162 starts"</formula>
    </cfRule>
  </conditionalFormatting>
  <conditionalFormatting sqref="AK3:AK22">
    <cfRule type="cellIs" dxfId="1586" priority="125" stopIfTrue="1" operator="equal">
      <formula>"must average at least 5 innings per start"</formula>
    </cfRule>
  </conditionalFormatting>
  <conditionalFormatting sqref="AK23">
    <cfRule type="cellIs" dxfId="1585" priority="124" stopIfTrue="1" operator="equal">
      <formula>"must have 162 starts"</formula>
    </cfRule>
  </conditionalFormatting>
  <conditionalFormatting sqref="AK3:AK22">
    <cfRule type="cellIs" dxfId="1584" priority="123" stopIfTrue="1" operator="equal">
      <formula>"must average at least 5 innings per start"</formula>
    </cfRule>
  </conditionalFormatting>
  <conditionalFormatting sqref="AK23">
    <cfRule type="cellIs" dxfId="1583" priority="122" stopIfTrue="1" operator="equal">
      <formula>"must have 162 starts"</formula>
    </cfRule>
  </conditionalFormatting>
  <conditionalFormatting sqref="AK3:AK22">
    <cfRule type="cellIs" dxfId="1582" priority="121" stopIfTrue="1" operator="equal">
      <formula>"must average at least 5 innings per start"</formula>
    </cfRule>
  </conditionalFormatting>
  <conditionalFormatting sqref="AK23">
    <cfRule type="cellIs" dxfId="1581" priority="120" stopIfTrue="1" operator="equal">
      <formula>"must have 162 starts"</formula>
    </cfRule>
  </conditionalFormatting>
  <conditionalFormatting sqref="AH3:AH22">
    <cfRule type="cellIs" dxfId="1580" priority="119" stopIfTrue="1" operator="equal">
      <formula>"must average at least 5 innings per start"</formula>
    </cfRule>
  </conditionalFormatting>
  <conditionalFormatting sqref="AH23">
    <cfRule type="cellIs" dxfId="1579" priority="118" stopIfTrue="1" operator="equal">
      <formula>"must have 162 starts"</formula>
    </cfRule>
  </conditionalFormatting>
  <conditionalFormatting sqref="AG3:AG22">
    <cfRule type="cellIs" dxfId="1578" priority="117" stopIfTrue="1" operator="equal">
      <formula>"must average at least 5 innings per start"</formula>
    </cfRule>
  </conditionalFormatting>
  <conditionalFormatting sqref="AG23">
    <cfRule type="cellIs" dxfId="1577" priority="116" stopIfTrue="1" operator="equal">
      <formula>"must have 162 starts"</formula>
    </cfRule>
  </conditionalFormatting>
  <conditionalFormatting sqref="AK3:AK22">
    <cfRule type="cellIs" dxfId="1576" priority="115" stopIfTrue="1" operator="equal">
      <formula>"must average at least 5 innings per start"</formula>
    </cfRule>
  </conditionalFormatting>
  <conditionalFormatting sqref="AK23">
    <cfRule type="cellIs" dxfId="1575" priority="114" stopIfTrue="1" operator="equal">
      <formula>"must have 162 starts"</formula>
    </cfRule>
  </conditionalFormatting>
  <conditionalFormatting sqref="AK3:AK22">
    <cfRule type="cellIs" dxfId="1574" priority="113" stopIfTrue="1" operator="equal">
      <formula>"must average at least 5 innings per start"</formula>
    </cfRule>
  </conditionalFormatting>
  <conditionalFormatting sqref="AK23">
    <cfRule type="cellIs" dxfId="1573" priority="112" stopIfTrue="1" operator="equal">
      <formula>"must have 162 starts"</formula>
    </cfRule>
  </conditionalFormatting>
  <conditionalFormatting sqref="AK3:AK22">
    <cfRule type="cellIs" dxfId="1572" priority="111" stopIfTrue="1" operator="equal">
      <formula>"must average at least 5 innings per start"</formula>
    </cfRule>
  </conditionalFormatting>
  <conditionalFormatting sqref="AK23">
    <cfRule type="cellIs" dxfId="1571" priority="110" stopIfTrue="1" operator="equal">
      <formula>"must have 162 starts"</formula>
    </cfRule>
  </conditionalFormatting>
  <conditionalFormatting sqref="AK3:AK22">
    <cfRule type="cellIs" dxfId="1570" priority="109" stopIfTrue="1" operator="equal">
      <formula>"must average at least 5 innings per start"</formula>
    </cfRule>
  </conditionalFormatting>
  <conditionalFormatting sqref="AK23">
    <cfRule type="cellIs" dxfId="1569" priority="108" stopIfTrue="1" operator="equal">
      <formula>"must have 162 starts"</formula>
    </cfRule>
  </conditionalFormatting>
  <conditionalFormatting sqref="AK3:AK22">
    <cfRule type="cellIs" dxfId="1568" priority="107" stopIfTrue="1" operator="equal">
      <formula>"must average at least 5 innings per start"</formula>
    </cfRule>
  </conditionalFormatting>
  <conditionalFormatting sqref="AK23">
    <cfRule type="cellIs" dxfId="1567" priority="106" stopIfTrue="1" operator="equal">
      <formula>"must have 162 starts"</formula>
    </cfRule>
  </conditionalFormatting>
  <conditionalFormatting sqref="AK3:AK22">
    <cfRule type="cellIs" dxfId="1566" priority="105" stopIfTrue="1" operator="equal">
      <formula>"must average at least 5 innings per start"</formula>
    </cfRule>
  </conditionalFormatting>
  <conditionalFormatting sqref="AK23">
    <cfRule type="cellIs" dxfId="1565" priority="104" stopIfTrue="1" operator="equal">
      <formula>"must have 162 starts"</formula>
    </cfRule>
  </conditionalFormatting>
  <conditionalFormatting sqref="AK3:AK22">
    <cfRule type="cellIs" dxfId="1564" priority="103" stopIfTrue="1" operator="equal">
      <formula>"must average at least 5 innings per start"</formula>
    </cfRule>
  </conditionalFormatting>
  <conditionalFormatting sqref="AK23">
    <cfRule type="cellIs" dxfId="1563" priority="102" stopIfTrue="1" operator="equal">
      <formula>"must have 162 starts"</formula>
    </cfRule>
  </conditionalFormatting>
  <conditionalFormatting sqref="AK3:AK22">
    <cfRule type="cellIs" dxfId="1562" priority="101" stopIfTrue="1" operator="equal">
      <formula>"must average at least 5 innings per start"</formula>
    </cfRule>
  </conditionalFormatting>
  <conditionalFormatting sqref="AK23">
    <cfRule type="cellIs" dxfId="1561" priority="100" stopIfTrue="1" operator="equal">
      <formula>"must have 162 starts"</formula>
    </cfRule>
  </conditionalFormatting>
  <conditionalFormatting sqref="AG3:AG22">
    <cfRule type="cellIs" dxfId="1560" priority="99" stopIfTrue="1" operator="equal">
      <formula>"must average at least 5 innings per start"</formula>
    </cfRule>
  </conditionalFormatting>
  <conditionalFormatting sqref="AG23">
    <cfRule type="cellIs" dxfId="1559" priority="98" stopIfTrue="1" operator="equal">
      <formula>"must have 162 starts"</formula>
    </cfRule>
  </conditionalFormatting>
  <conditionalFormatting sqref="AK3:AK22">
    <cfRule type="cellIs" dxfId="1558" priority="97" stopIfTrue="1" operator="equal">
      <formula>"must average at least 5 innings per start"</formula>
    </cfRule>
  </conditionalFormatting>
  <conditionalFormatting sqref="AK23">
    <cfRule type="cellIs" dxfId="1557" priority="96" stopIfTrue="1" operator="equal">
      <formula>"must have 162 starts"</formula>
    </cfRule>
  </conditionalFormatting>
  <conditionalFormatting sqref="AK3:AK22">
    <cfRule type="cellIs" dxfId="1556" priority="95" stopIfTrue="1" operator="equal">
      <formula>"must average at least 5 innings per start"</formula>
    </cfRule>
  </conditionalFormatting>
  <conditionalFormatting sqref="AK23">
    <cfRule type="cellIs" dxfId="1555" priority="94" stopIfTrue="1" operator="equal">
      <formula>"must have 162 starts"</formula>
    </cfRule>
  </conditionalFormatting>
  <conditionalFormatting sqref="AK3:AK22">
    <cfRule type="cellIs" dxfId="1554" priority="93" stopIfTrue="1" operator="equal">
      <formula>"must average at least 5 innings per start"</formula>
    </cfRule>
  </conditionalFormatting>
  <conditionalFormatting sqref="AK23">
    <cfRule type="cellIs" dxfId="1553" priority="92" stopIfTrue="1" operator="equal">
      <formula>"must have 162 starts"</formula>
    </cfRule>
  </conditionalFormatting>
  <conditionalFormatting sqref="AK3:AK22">
    <cfRule type="cellIs" dxfId="1552" priority="91" stopIfTrue="1" operator="equal">
      <formula>"must average at least 5 innings per start"</formula>
    </cfRule>
  </conditionalFormatting>
  <conditionalFormatting sqref="AK23">
    <cfRule type="cellIs" dxfId="1551" priority="90" stopIfTrue="1" operator="equal">
      <formula>"must have 162 starts"</formula>
    </cfRule>
  </conditionalFormatting>
  <conditionalFormatting sqref="AK3:AK22">
    <cfRule type="cellIs" dxfId="1550" priority="89" stopIfTrue="1" operator="equal">
      <formula>"must average at least 5 innings per start"</formula>
    </cfRule>
  </conditionalFormatting>
  <conditionalFormatting sqref="AK23">
    <cfRule type="cellIs" dxfId="1549" priority="88" stopIfTrue="1" operator="equal">
      <formula>"must have 162 starts"</formula>
    </cfRule>
  </conditionalFormatting>
  <conditionalFormatting sqref="AK3:AK22">
    <cfRule type="cellIs" dxfId="1548" priority="87" stopIfTrue="1" operator="equal">
      <formula>"must average at least 5 innings per start"</formula>
    </cfRule>
  </conditionalFormatting>
  <conditionalFormatting sqref="AK23">
    <cfRule type="cellIs" dxfId="1547" priority="86" stopIfTrue="1" operator="equal">
      <formula>"must have 162 starts"</formula>
    </cfRule>
  </conditionalFormatting>
  <conditionalFormatting sqref="AK3:AK22">
    <cfRule type="cellIs" dxfId="1546" priority="85" stopIfTrue="1" operator="equal">
      <formula>"must average at least 5 innings per start"</formula>
    </cfRule>
  </conditionalFormatting>
  <conditionalFormatting sqref="AK23">
    <cfRule type="cellIs" dxfId="1545" priority="84" stopIfTrue="1" operator="equal">
      <formula>"must have 162 starts"</formula>
    </cfRule>
  </conditionalFormatting>
  <conditionalFormatting sqref="AG3:AG22">
    <cfRule type="cellIs" dxfId="1544" priority="83" stopIfTrue="1" operator="equal">
      <formula>"must average at least 5 innings per start"</formula>
    </cfRule>
  </conditionalFormatting>
  <conditionalFormatting sqref="AG23">
    <cfRule type="cellIs" dxfId="1543" priority="82" stopIfTrue="1" operator="equal">
      <formula>"must have 162 starts"</formula>
    </cfRule>
  </conditionalFormatting>
  <conditionalFormatting sqref="AK3:AK22">
    <cfRule type="cellIs" dxfId="1542" priority="81" stopIfTrue="1" operator="equal">
      <formula>"must average at least 5 innings per start"</formula>
    </cfRule>
  </conditionalFormatting>
  <conditionalFormatting sqref="AK23">
    <cfRule type="cellIs" dxfId="1541" priority="80" stopIfTrue="1" operator="equal">
      <formula>"must have 162 starts"</formula>
    </cfRule>
  </conditionalFormatting>
  <conditionalFormatting sqref="AK3:AK22">
    <cfRule type="cellIs" dxfId="1540" priority="79" stopIfTrue="1" operator="equal">
      <formula>"must average at least 5 innings per start"</formula>
    </cfRule>
  </conditionalFormatting>
  <conditionalFormatting sqref="AK23">
    <cfRule type="cellIs" dxfId="1539" priority="78" stopIfTrue="1" operator="equal">
      <formula>"must have 162 starts"</formula>
    </cfRule>
  </conditionalFormatting>
  <conditionalFormatting sqref="AK3:AK22">
    <cfRule type="cellIs" dxfId="1538" priority="77" stopIfTrue="1" operator="equal">
      <formula>"must average at least 5 innings per start"</formula>
    </cfRule>
  </conditionalFormatting>
  <conditionalFormatting sqref="AK23">
    <cfRule type="cellIs" dxfId="1537" priority="76" stopIfTrue="1" operator="equal">
      <formula>"must have 162 starts"</formula>
    </cfRule>
  </conditionalFormatting>
  <conditionalFormatting sqref="AK3:AK22">
    <cfRule type="cellIs" dxfId="1536" priority="75" stopIfTrue="1" operator="equal">
      <formula>"must average at least 5 innings per start"</formula>
    </cfRule>
  </conditionalFormatting>
  <conditionalFormatting sqref="AK23">
    <cfRule type="cellIs" dxfId="1535" priority="74" stopIfTrue="1" operator="equal">
      <formula>"must have 162 starts"</formula>
    </cfRule>
  </conditionalFormatting>
  <conditionalFormatting sqref="AK3:AK22">
    <cfRule type="cellIs" dxfId="1534" priority="73" stopIfTrue="1" operator="equal">
      <formula>"must average at least 5 innings per start"</formula>
    </cfRule>
  </conditionalFormatting>
  <conditionalFormatting sqref="AK23">
    <cfRule type="cellIs" dxfId="1533" priority="72" stopIfTrue="1" operator="equal">
      <formula>"must have 162 starts"</formula>
    </cfRule>
  </conditionalFormatting>
  <conditionalFormatting sqref="AK3:AK22">
    <cfRule type="cellIs" dxfId="1532" priority="71" stopIfTrue="1" operator="equal">
      <formula>"must average at least 5 innings per start"</formula>
    </cfRule>
  </conditionalFormatting>
  <conditionalFormatting sqref="AK23">
    <cfRule type="cellIs" dxfId="1531" priority="70" stopIfTrue="1" operator="equal">
      <formula>"must have 162 starts"</formula>
    </cfRule>
  </conditionalFormatting>
  <conditionalFormatting sqref="AG3:AG22">
    <cfRule type="cellIs" dxfId="1530" priority="69" stopIfTrue="1" operator="equal">
      <formula>"must average at least 5 innings per start"</formula>
    </cfRule>
  </conditionalFormatting>
  <conditionalFormatting sqref="AG23">
    <cfRule type="cellIs" dxfId="1529" priority="68" stopIfTrue="1" operator="equal">
      <formula>"must have 162 starts"</formula>
    </cfRule>
  </conditionalFormatting>
  <conditionalFormatting sqref="AK3:AK22">
    <cfRule type="cellIs" dxfId="1528" priority="67" stopIfTrue="1" operator="equal">
      <formula>"must average at least 5 innings per start"</formula>
    </cfRule>
  </conditionalFormatting>
  <conditionalFormatting sqref="AK23">
    <cfRule type="cellIs" dxfId="1527" priority="66" stopIfTrue="1" operator="equal">
      <formula>"must have 162 starts"</formula>
    </cfRule>
  </conditionalFormatting>
  <conditionalFormatting sqref="AK3:AK22">
    <cfRule type="cellIs" dxfId="1526" priority="65" stopIfTrue="1" operator="equal">
      <formula>"must average at least 5 innings per start"</formula>
    </cfRule>
  </conditionalFormatting>
  <conditionalFormatting sqref="AK23">
    <cfRule type="cellIs" dxfId="1525" priority="64" stopIfTrue="1" operator="equal">
      <formula>"must have 162 starts"</formula>
    </cfRule>
  </conditionalFormatting>
  <conditionalFormatting sqref="AK3:AK22">
    <cfRule type="cellIs" dxfId="1524" priority="63" stopIfTrue="1" operator="equal">
      <formula>"must average at least 5 innings per start"</formula>
    </cfRule>
  </conditionalFormatting>
  <conditionalFormatting sqref="AK23">
    <cfRule type="cellIs" dxfId="1523" priority="62" stopIfTrue="1" operator="equal">
      <formula>"must have 162 starts"</formula>
    </cfRule>
  </conditionalFormatting>
  <conditionalFormatting sqref="AK3:AK22">
    <cfRule type="cellIs" dxfId="1522" priority="61" stopIfTrue="1" operator="equal">
      <formula>"must average at least 5 innings per start"</formula>
    </cfRule>
  </conditionalFormatting>
  <conditionalFormatting sqref="AK23">
    <cfRule type="cellIs" dxfId="1521" priority="60" stopIfTrue="1" operator="equal">
      <formula>"must have 162 starts"</formula>
    </cfRule>
  </conditionalFormatting>
  <conditionalFormatting sqref="AK3:AK22">
    <cfRule type="cellIs" dxfId="1520" priority="59" stopIfTrue="1" operator="equal">
      <formula>"must average at least 5 innings per start"</formula>
    </cfRule>
  </conditionalFormatting>
  <conditionalFormatting sqref="AK23">
    <cfRule type="cellIs" dxfId="1519" priority="58" stopIfTrue="1" operator="equal">
      <formula>"must have 162 starts"</formula>
    </cfRule>
  </conditionalFormatting>
  <conditionalFormatting sqref="AG3:AG22">
    <cfRule type="cellIs" dxfId="1518" priority="57" stopIfTrue="1" operator="equal">
      <formula>"must average at least 5 innings per start"</formula>
    </cfRule>
  </conditionalFormatting>
  <conditionalFormatting sqref="AG23">
    <cfRule type="cellIs" dxfId="1517" priority="56" stopIfTrue="1" operator="equal">
      <formula>"must have 162 starts"</formula>
    </cfRule>
  </conditionalFormatting>
  <conditionalFormatting sqref="AK3:AK22">
    <cfRule type="cellIs" dxfId="1516" priority="55" stopIfTrue="1" operator="equal">
      <formula>"must average at least 5 innings per start"</formula>
    </cfRule>
  </conditionalFormatting>
  <conditionalFormatting sqref="AK23">
    <cfRule type="cellIs" dxfId="1515" priority="54" stopIfTrue="1" operator="equal">
      <formula>"must have 162 starts"</formula>
    </cfRule>
  </conditionalFormatting>
  <conditionalFormatting sqref="AK3:AK22">
    <cfRule type="cellIs" dxfId="1514" priority="53" stopIfTrue="1" operator="equal">
      <formula>"must average at least 5 innings per start"</formula>
    </cfRule>
  </conditionalFormatting>
  <conditionalFormatting sqref="AK23">
    <cfRule type="cellIs" dxfId="1513" priority="52" stopIfTrue="1" operator="equal">
      <formula>"must have 162 starts"</formula>
    </cfRule>
  </conditionalFormatting>
  <conditionalFormatting sqref="AK3:AK22">
    <cfRule type="cellIs" dxfId="1512" priority="51" stopIfTrue="1" operator="equal">
      <formula>"must average at least 5 innings per start"</formula>
    </cfRule>
  </conditionalFormatting>
  <conditionalFormatting sqref="AK23">
    <cfRule type="cellIs" dxfId="1511" priority="50" stopIfTrue="1" operator="equal">
      <formula>"must have 162 starts"</formula>
    </cfRule>
  </conditionalFormatting>
  <conditionalFormatting sqref="AK3:AK22">
    <cfRule type="cellIs" dxfId="1510" priority="49" stopIfTrue="1" operator="equal">
      <formula>"must average at least 5 innings per start"</formula>
    </cfRule>
  </conditionalFormatting>
  <conditionalFormatting sqref="AK23">
    <cfRule type="cellIs" dxfId="1509" priority="48" stopIfTrue="1" operator="equal">
      <formula>"must have 162 starts"</formula>
    </cfRule>
  </conditionalFormatting>
  <conditionalFormatting sqref="AG3:AG22">
    <cfRule type="cellIs" dxfId="1508" priority="47" stopIfTrue="1" operator="equal">
      <formula>"must average at least 5 innings per start"</formula>
    </cfRule>
  </conditionalFormatting>
  <conditionalFormatting sqref="AG23">
    <cfRule type="cellIs" dxfId="1507" priority="46" stopIfTrue="1" operator="equal">
      <formula>"must have 162 starts"</formula>
    </cfRule>
  </conditionalFormatting>
  <conditionalFormatting sqref="AK3:AK22">
    <cfRule type="cellIs" dxfId="1506" priority="45" stopIfTrue="1" operator="equal">
      <formula>"must average at least 5 innings per start"</formula>
    </cfRule>
  </conditionalFormatting>
  <conditionalFormatting sqref="AK23">
    <cfRule type="cellIs" dxfId="1505" priority="44" stopIfTrue="1" operator="equal">
      <formula>"must have 162 starts"</formula>
    </cfRule>
  </conditionalFormatting>
  <conditionalFormatting sqref="AK3:AK22">
    <cfRule type="cellIs" dxfId="1504" priority="43" stopIfTrue="1" operator="equal">
      <formula>"must average at least 5 innings per start"</formula>
    </cfRule>
  </conditionalFormatting>
  <conditionalFormatting sqref="AK23">
    <cfRule type="cellIs" dxfId="1503" priority="42" stopIfTrue="1" operator="equal">
      <formula>"must have 162 starts"</formula>
    </cfRule>
  </conditionalFormatting>
  <conditionalFormatting sqref="AK3:AK22">
    <cfRule type="cellIs" dxfId="1502" priority="41" stopIfTrue="1" operator="equal">
      <formula>"must average at least 5 innings per start"</formula>
    </cfRule>
  </conditionalFormatting>
  <conditionalFormatting sqref="AK23">
    <cfRule type="cellIs" dxfId="1501" priority="40" stopIfTrue="1" operator="equal">
      <formula>"must have 162 starts"</formula>
    </cfRule>
  </conditionalFormatting>
  <conditionalFormatting sqref="AG3:AG22">
    <cfRule type="cellIs" dxfId="1500" priority="39" stopIfTrue="1" operator="equal">
      <formula>"must average at least 5 innings per start"</formula>
    </cfRule>
  </conditionalFormatting>
  <conditionalFormatting sqref="AG23">
    <cfRule type="cellIs" dxfId="1499" priority="38" stopIfTrue="1" operator="equal">
      <formula>"must have 162 starts"</formula>
    </cfRule>
  </conditionalFormatting>
  <conditionalFormatting sqref="AK3:AK22">
    <cfRule type="cellIs" dxfId="1498" priority="37" stopIfTrue="1" operator="equal">
      <formula>"must average at least 5 innings per start"</formula>
    </cfRule>
  </conditionalFormatting>
  <conditionalFormatting sqref="AK23">
    <cfRule type="cellIs" dxfId="1497" priority="36" stopIfTrue="1" operator="equal">
      <formula>"must have 162 starts"</formula>
    </cfRule>
  </conditionalFormatting>
  <conditionalFormatting sqref="AG3:AG22">
    <cfRule type="cellIs" dxfId="1496" priority="35" stopIfTrue="1" operator="equal">
      <formula>"must average at least 5 innings per start"</formula>
    </cfRule>
  </conditionalFormatting>
  <conditionalFormatting sqref="AG23">
    <cfRule type="cellIs" dxfId="1495" priority="34" stopIfTrue="1" operator="equal">
      <formula>"must have 162 starts"</formula>
    </cfRule>
  </conditionalFormatting>
  <conditionalFormatting sqref="AG3:AG21">
    <cfRule type="cellIs" dxfId="1494" priority="33" stopIfTrue="1" operator="equal">
      <formula>"must average at least 5 innings per start"</formula>
    </cfRule>
  </conditionalFormatting>
  <conditionalFormatting sqref="AG3:AG21">
    <cfRule type="cellIs" dxfId="1493" priority="32" stopIfTrue="1" operator="equal">
      <formula>"must average at least 5 innings per start"</formula>
    </cfRule>
  </conditionalFormatting>
  <conditionalFormatting sqref="AG3:AG21">
    <cfRule type="cellIs" dxfId="1492" priority="31" stopIfTrue="1" operator="equal">
      <formula>"must average at least 5 innings per start"</formula>
    </cfRule>
  </conditionalFormatting>
  <conditionalFormatting sqref="AG3:AG21">
    <cfRule type="cellIs" dxfId="1491" priority="30" stopIfTrue="1" operator="equal">
      <formula>"must average at least 5 innings per start"</formula>
    </cfRule>
  </conditionalFormatting>
  <conditionalFormatting sqref="AG3:AG21">
    <cfRule type="cellIs" dxfId="1490" priority="29" stopIfTrue="1" operator="equal">
      <formula>"must average at least 5 innings per start"</formula>
    </cfRule>
  </conditionalFormatting>
  <conditionalFormatting sqref="AG3:AG21">
    <cfRule type="cellIs" dxfId="1489" priority="28" stopIfTrue="1" operator="equal">
      <formula>"must average at least 5 innings per start"</formula>
    </cfRule>
  </conditionalFormatting>
  <conditionalFormatting sqref="AG3:AG21">
    <cfRule type="cellIs" dxfId="1488" priority="27" stopIfTrue="1" operator="equal">
      <formula>"must average at least 5 innings per start"</formula>
    </cfRule>
  </conditionalFormatting>
  <conditionalFormatting sqref="AG3:AG21">
    <cfRule type="cellIs" dxfId="1487" priority="26" stopIfTrue="1" operator="equal">
      <formula>"must average at least 5 innings per start"</formula>
    </cfRule>
  </conditionalFormatting>
  <conditionalFormatting sqref="AG3:AG21">
    <cfRule type="cellIs" dxfId="1486" priority="25" stopIfTrue="1" operator="equal">
      <formula>"must average at least 5 innings per start"</formula>
    </cfRule>
  </conditionalFormatting>
  <conditionalFormatting sqref="AG3:AG21">
    <cfRule type="cellIs" dxfId="1485" priority="24" stopIfTrue="1" operator="equal">
      <formula>"must average at least 5 innings per start"</formula>
    </cfRule>
  </conditionalFormatting>
  <conditionalFormatting sqref="AG3:AG21">
    <cfRule type="cellIs" dxfId="1484" priority="23" stopIfTrue="1" operator="equal">
      <formula>"must average at least 5 innings per start"</formula>
    </cfRule>
  </conditionalFormatting>
  <conditionalFormatting sqref="AG3:AG21">
    <cfRule type="cellIs" dxfId="1483" priority="22" stopIfTrue="1" operator="equal">
      <formula>"must average at least 5 innings per start"</formula>
    </cfRule>
  </conditionalFormatting>
  <conditionalFormatting sqref="AG3:AG21">
    <cfRule type="cellIs" dxfId="1482" priority="21" stopIfTrue="1" operator="equal">
      <formula>"must average at least 5 innings per start"</formula>
    </cfRule>
  </conditionalFormatting>
  <conditionalFormatting sqref="AG3:AG21">
    <cfRule type="cellIs" dxfId="1481" priority="20" stopIfTrue="1" operator="equal">
      <formula>"must average at least 5 innings per start"</formula>
    </cfRule>
  </conditionalFormatting>
  <conditionalFormatting sqref="AG3:AG21">
    <cfRule type="cellIs" dxfId="1480" priority="19" stopIfTrue="1" operator="equal">
      <formula>"must average at least 5 innings per start"</formula>
    </cfRule>
  </conditionalFormatting>
  <conditionalFormatting sqref="AG3:AG21">
    <cfRule type="cellIs" dxfId="1479" priority="18" stopIfTrue="1" operator="equal">
      <formula>"must average at least 5 innings per start"</formula>
    </cfRule>
  </conditionalFormatting>
  <conditionalFormatting sqref="AG3:AG21">
    <cfRule type="cellIs" dxfId="1478" priority="17" stopIfTrue="1" operator="equal">
      <formula>"must average at least 5 innings per start"</formula>
    </cfRule>
  </conditionalFormatting>
  <conditionalFormatting sqref="AG3:AG21">
    <cfRule type="cellIs" dxfId="1477" priority="16" stopIfTrue="1" operator="equal">
      <formula>"must average at least 5 innings per start"</formula>
    </cfRule>
  </conditionalFormatting>
  <conditionalFormatting sqref="AG3:AG21">
    <cfRule type="cellIs" dxfId="1476" priority="15" stopIfTrue="1" operator="equal">
      <formula>"must average at least 5 innings per start"</formula>
    </cfRule>
  </conditionalFormatting>
  <conditionalFormatting sqref="AG3:AG21">
    <cfRule type="cellIs" dxfId="1475" priority="14" stopIfTrue="1" operator="equal">
      <formula>"must average at least 5 innings per start"</formula>
    </cfRule>
  </conditionalFormatting>
  <conditionalFormatting sqref="AG3:AG21">
    <cfRule type="cellIs" dxfId="1474" priority="13" stopIfTrue="1" operator="equal">
      <formula>"must average at least 5 innings per start"</formula>
    </cfRule>
  </conditionalFormatting>
  <conditionalFormatting sqref="AG3:AG21">
    <cfRule type="cellIs" dxfId="1473" priority="12" stopIfTrue="1" operator="equal">
      <formula>"must average at least 5 innings per start"</formula>
    </cfRule>
  </conditionalFormatting>
  <conditionalFormatting sqref="AG3:AG21">
    <cfRule type="cellIs" dxfId="1472" priority="11" stopIfTrue="1" operator="equal">
      <formula>"must average at least 5 innings per start"</formula>
    </cfRule>
  </conditionalFormatting>
  <conditionalFormatting sqref="AG3:AG21">
    <cfRule type="cellIs" dxfId="1471" priority="10" stopIfTrue="1" operator="equal">
      <formula>"must average at least 5 innings per start"</formula>
    </cfRule>
  </conditionalFormatting>
  <conditionalFormatting sqref="AG3:AG21">
    <cfRule type="cellIs" dxfId="1470" priority="9" stopIfTrue="1" operator="equal">
      <formula>"must average at least 5 innings per start"</formula>
    </cfRule>
  </conditionalFormatting>
  <conditionalFormatting sqref="AG3:AG21">
    <cfRule type="cellIs" dxfId="1469" priority="8" stopIfTrue="1" operator="equal">
      <formula>"must average at least 5 innings per start"</formula>
    </cfRule>
  </conditionalFormatting>
  <conditionalFormatting sqref="AG3:AG21">
    <cfRule type="cellIs" dxfId="1468" priority="7" stopIfTrue="1" operator="equal">
      <formula>"must average at least 5 innings per start"</formula>
    </cfRule>
  </conditionalFormatting>
  <conditionalFormatting sqref="AG3:AG21">
    <cfRule type="cellIs" dxfId="1467" priority="6" stopIfTrue="1" operator="equal">
      <formula>"must average at least 5 innings per start"</formula>
    </cfRule>
  </conditionalFormatting>
  <conditionalFormatting sqref="AG3:AG21">
    <cfRule type="cellIs" dxfId="1466" priority="5" stopIfTrue="1" operator="equal">
      <formula>"must average at least 5 innings per start"</formula>
    </cfRule>
  </conditionalFormatting>
  <conditionalFormatting sqref="AG3:AG21">
    <cfRule type="cellIs" dxfId="1465" priority="4" stopIfTrue="1" operator="equal">
      <formula>"must average at least 5 innings per start"</formula>
    </cfRule>
  </conditionalFormatting>
  <conditionalFormatting sqref="Q2">
    <cfRule type="cellIs" dxfId="1464" priority="1" stopIfTrue="1" operator="equal">
      <formula>"ROTATION FAILED"</formula>
    </cfRule>
  </conditionalFormatting>
  <printOptions gridLines="1" gridLinesSet="0"/>
  <pageMargins left="0.75" right="0.75" top="1" bottom="1" header="0.5" footer="0.5"/>
  <pageSetup orientation="portrait" r:id="rId1"/>
  <headerFooter alignWithMargins="0">
    <oddHeader>&amp;A</oddHeader>
  </headerFooter>
  <webPublishItems count="3">
    <webPublishItem id="18762" divId="ROTcheck_18762" sourceType="sheet" destinationFile="C:\1kading\schedule\skedsfc.html"/>
    <webPublishItem id="28785" divId="ROTcheck_28785" sourceType="range" sourceRef="A1:O193" destinationFile="C:\1kading\schedule\skedsfc.html"/>
    <webPublishItem id="1520" divId="ROTcheck_1520" sourceType="range" sourceRef="A156:O185" destinationFile="C:\1kading\schedule\skedsfc.html"/>
  </webPublishItems>
</worksheet>
</file>

<file path=xl/worksheets/sheet26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6" customWidth="1"/>
    <col min="2" max="2" width="4" style="6" customWidth="1"/>
    <col min="3" max="3" width="5.85546875" style="6" customWidth="1"/>
    <col min="4" max="4" width="29.5703125" style="4" customWidth="1"/>
    <col min="5" max="5" width="4.7109375" style="2" customWidth="1"/>
    <col min="6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24.285156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42578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40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/>
      <c r="C3" s="33" t="s">
        <v>44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40" t="s">
        <v>426</v>
      </c>
      <c r="T3" s="46" t="str">
        <f>IF(ISERROR((VLOOKUP(S3,Pitchers!$B$1:H$800,4,FALSE))),"",(VLOOKUP(S3,Pitchers!$B$1:H$800,4,FALSE)))</f>
        <v>TBR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12</v>
      </c>
      <c r="X3" s="47">
        <f>IF(ISERROR((VLOOKUP(S3,Pitchers!B$2:AA$795,11,FALSE))),"",(VLOOKUP(S3,Pitchers!B$2:AA$795,11,FALSE)))</f>
        <v>144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>W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RIV</v>
      </c>
    </row>
    <row r="4" spans="1:36" ht="12.75">
      <c r="A4" s="6">
        <v>4.0199999999999996</v>
      </c>
      <c r="B4" s="33"/>
      <c r="C4" s="33" t="s">
        <v>44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40" t="s">
        <v>419</v>
      </c>
      <c r="T4" s="46" t="str">
        <f>IF(ISERROR((VLOOKUP(S4,Pitchers!$B$1:H$800,4,FALSE))),"",(VLOOKUP(S4,Pitchers!$B$1:H$800,4,FALSE)))</f>
        <v>CHW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12</v>
      </c>
      <c r="X4" s="47">
        <f>IF(ISERROR((VLOOKUP(S4,Pitchers!B$2:AA$795,11,FALSE))),"",(VLOOKUP(S4,Pitchers!B$2:AA$795,11,FALSE)))</f>
        <v>35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>W</v>
      </c>
      <c r="AD4" s="53" t="str">
        <f>IF(ISERROR((VLOOKUP(S4,Pitchers!B$2:AA$795,18,FALSE))),"",(VLOOKUP(S4,Pitchers!B$2:AA$795,18,FALSE)))</f>
        <v>M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RIV</v>
      </c>
    </row>
    <row r="5" spans="1:36" ht="12.75">
      <c r="A5" s="6">
        <v>4.03</v>
      </c>
      <c r="B5" s="33"/>
      <c r="C5" s="33" t="s">
        <v>44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40" t="s">
        <v>1358</v>
      </c>
      <c r="T5" s="46" t="str">
        <f>IF(ISERROR((VLOOKUP(S5,Pitchers!$B$1:H$800,4,FALSE))),"",(VLOOKUP(S5,Pitchers!$B$1:H$800,4,FALSE)))</f>
        <v>LAA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11</v>
      </c>
      <c r="X5" s="47">
        <f>IF(ISERROR((VLOOKUP(S5,Pitchers!B$2:AA$795,11,FALSE))),"",(VLOOKUP(S5,Pitchers!B$2:AA$795,11,FALSE)))</f>
        <v>106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RIV</v>
      </c>
    </row>
    <row r="6" spans="1:36" ht="12.75">
      <c r="A6" s="6">
        <v>4.04</v>
      </c>
      <c r="B6" s="33"/>
      <c r="C6" s="33" t="s">
        <v>44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40" t="s">
        <v>548</v>
      </c>
      <c r="T6" s="46" t="str">
        <f>IF(ISERROR((VLOOKUP(S6,Pitchers!$B$1:H$800,4,FALSE))),"",(VLOOKUP(S6,Pitchers!$B$1:H$800,4,FALSE)))</f>
        <v>SEA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8</v>
      </c>
      <c r="X6" s="47">
        <f>IF(ISERROR((VLOOKUP(S6,Pitchers!B$2:AA$795,11,FALSE))),"",(VLOOKUP(S6,Pitchers!B$2:AA$795,11,FALSE)))</f>
        <v>67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>W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RIV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40" t="s">
        <v>1228</v>
      </c>
      <c r="T7" s="46" t="str">
        <f>IF(ISERROR((VLOOKUP(S7,Pitchers!$B$1:H$800,4,FALSE))),"",(VLOOKUP(S7,Pitchers!$B$1:H$800,4,FALSE)))</f>
        <v>TEX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7</v>
      </c>
      <c r="X7" s="47">
        <f>IF(ISERROR((VLOOKUP(S7,Pitchers!B$2:AA$795,11,FALSE))),"",(VLOOKUP(S7,Pitchers!B$2:AA$795,11,FALSE)))</f>
        <v>205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 t="s">
        <v>32</v>
      </c>
      <c r="C8" s="33" t="s">
        <v>16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40" t="s">
        <v>1351</v>
      </c>
      <c r="T8" s="46" t="str">
        <f>IF(ISERROR((VLOOKUP(S8,Pitchers!$B$1:H$800,4,FALSE))),"",(VLOOKUP(S8,Pitchers!$B$1:H$800,4,FALSE)))</f>
        <v>OAK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7</v>
      </c>
      <c r="X8" s="47">
        <f>IF(ISERROR((VLOOKUP(S8,Pitchers!B$2:AA$795,11,FALSE))),"",(VLOOKUP(S8,Pitchers!B$2:AA$795,11,FALSE)))</f>
        <v>116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RIV</v>
      </c>
    </row>
    <row r="9" spans="1:36" ht="12.75">
      <c r="A9" s="6">
        <v>4.07</v>
      </c>
      <c r="B9" s="33" t="s">
        <v>32</v>
      </c>
      <c r="C9" s="33" t="s">
        <v>16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40" t="s">
        <v>509</v>
      </c>
      <c r="T9" s="46" t="str">
        <f>IF(ISERROR((VLOOKUP(S9,Pitchers!$B$1:H$800,4,FALSE))),"",(VLOOKUP(S9,Pitchers!$B$1:H$800,4,FALSE)))</f>
        <v>PIT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129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RIV</v>
      </c>
    </row>
    <row r="10" spans="1:36" ht="12.75">
      <c r="A10" s="6">
        <v>4.08</v>
      </c>
      <c r="B10" s="33" t="s">
        <v>32</v>
      </c>
      <c r="C10" s="33" t="s">
        <v>16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40" t="s">
        <v>323</v>
      </c>
      <c r="T10" s="46" t="str">
        <f>IF(ISERROR((VLOOKUP(S10,Pitchers!$B$1:H$800,4,FALSE))),"",(VLOOKUP(S10,Pitchers!$B$1:H$800,4,FALSE)))</f>
        <v>BAL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4</v>
      </c>
      <c r="X10" s="47">
        <f>IF(ISERROR((VLOOKUP(S10,Pitchers!B$2:AA$795,11,FALSE))),"",(VLOOKUP(S10,Pitchers!B$2:AA$795,11,FALSE)))</f>
        <v>101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Y</v>
      </c>
      <c r="AC10" s="52" t="str">
        <f>IF(ISERROR((VLOOKUP(S10,Pitchers!B$2:AA$795,17,FALSE))),"",(VLOOKUP(S10,Pitchers!B$2:AA$795,17,FALSE)))</f>
        <v>Z</v>
      </c>
      <c r="AD10" s="53" t="str">
        <f>IF(ISERROR((VLOOKUP(S10,Pitchers!B$2:AA$795,18,FALSE))),"",(VLOOKUP(S10,Pitchers!B$2:AA$795,18,FALSE)))</f>
        <v>L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RIV</v>
      </c>
    </row>
    <row r="11" spans="1:36" ht="12.75">
      <c r="A11" s="6">
        <v>4.09</v>
      </c>
      <c r="B11" s="33" t="s">
        <v>32</v>
      </c>
      <c r="C11" s="33" t="s">
        <v>16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40" t="s">
        <v>1306</v>
      </c>
      <c r="T11" s="46" t="str">
        <f>IF(ISERROR((VLOOKUP(S11,Pitchers!$B$1:H$800,4,FALSE))),"",(VLOOKUP(S11,Pitchers!$B$1:H$800,4,FALSE)))</f>
        <v>COL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4</v>
      </c>
      <c r="X11" s="47">
        <f>IF(ISERROR((VLOOKUP(S11,Pitchers!B$2:AA$795,11,FALSE))),"",(VLOOKUP(S11,Pitchers!B$2:AA$795,11,FALSE)))</f>
        <v>80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>W</v>
      </c>
      <c r="AD11" s="53" t="str">
        <f>IF(ISERROR((VLOOKUP(S11,Pitchers!B$2:AA$795,18,FALSE))),"",(VLOOKUP(S11,Pitchers!B$2:AA$795,18,FALSE)))</f>
        <v>L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RIV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80" t="s">
        <v>1335</v>
      </c>
      <c r="T12" s="46" t="str">
        <f>IF(ISERROR((VLOOKUP(S12,Pitchers!$B$1:H$800,4,FALSE))),"",(VLOOKUP(S12,Pitchers!$B$1:H$800,4,FALSE)))</f>
        <v>ATL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3</v>
      </c>
      <c r="X12" s="47">
        <f>IF(ISERROR((VLOOKUP(S12,Pitchers!B$2:AA$795,11,FALSE))),"",(VLOOKUP(S12,Pitchers!B$2:AA$795,11,FALSE)))</f>
        <v>84</v>
      </c>
      <c r="Y12" s="22"/>
      <c r="Z12" s="22"/>
      <c r="AA12" s="22"/>
      <c r="AB12" s="51" t="str">
        <f>IF(ISERROR((VLOOKUP(S12,Pitchers!B$2:AA$795,16,FALSE))),"",(VLOOKUP(S12,Pitchers!B$2:AA$795,16,FALSE)))</f>
        <v>Y</v>
      </c>
      <c r="AC12" s="52" t="str">
        <f>IF(ISERROR((VLOOKUP(S12,Pitchers!B$2:AA$795,17,FALSE))),"",(VLOOKUP(S12,Pitchers!B$2:AA$795,17,FALSE)))</f>
        <v xml:space="preserve"> </v>
      </c>
      <c r="AD12" s="53" t="str">
        <f>IF(ISERROR((VLOOKUP(S12,Pitchers!B$2:AA$795,18,FALSE))),"",(VLOOKUP(S12,Pitchers!B$2:AA$795,18,FALSE)))</f>
        <v>L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41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81" t="s">
        <v>546</v>
      </c>
      <c r="T13" s="46" t="str">
        <f>IF(ISERROR((VLOOKUP(S13,Pitchers!$B$1:H$800,4,FALSE))),"",(VLOOKUP(S13,Pitchers!$B$1:H$800,4,FALSE)))</f>
        <v>PHI</v>
      </c>
      <c r="U13" s="45" t="str">
        <f>IF(ISERROR((VLOOKUP(S13,Pitchers!B$2:AA$795,10,FALSE))),"",(VLOOKUP(S13,Pitchers!B$2:AA$795,10,FALSE)))</f>
        <v>R</v>
      </c>
      <c r="V13" s="21"/>
      <c r="W13" s="46">
        <f>IF(ISERROR((VLOOKUP(S13,Pitchers!B$2:AA$795,13,FALSE))),"",(VLOOKUP(S13,Pitchers!B$2:AA$795,13,FALSE)))</f>
        <v>2</v>
      </c>
      <c r="X13" s="47">
        <f>IF(ISERROR((VLOOKUP(S13,Pitchers!B$2:AA$795,11,FALSE))),"",(VLOOKUP(S13,Pitchers!B$2:AA$795,11,FALSE)))</f>
        <v>200</v>
      </c>
      <c r="Y13" s="22"/>
      <c r="Z13" s="22"/>
      <c r="AA13" s="22"/>
      <c r="AB13" s="51" t="str">
        <f>IF(ISERROR((VLOOKUP(S13,Pitchers!B$2:AA$795,16,FALSE))),"",(VLOOKUP(S13,Pitchers!B$2:AA$795,16,FALSE)))</f>
        <v xml:space="preserve"> </v>
      </c>
      <c r="AC13" s="52" t="str">
        <f>IF(ISERROR((VLOOKUP(S13,Pitchers!B$2:AA$795,17,FALSE))),"",(VLOOKUP(S13,Pitchers!B$2:AA$795,17,FALSE)))</f>
        <v>Z</v>
      </c>
      <c r="AD13" s="53" t="str">
        <f>IF(ISERROR((VLOOKUP(S13,Pitchers!B$2:AA$795,18,FALSE))),"",(VLOOKUP(S13,Pitchers!B$2:AA$795,18,FALSE)))</f>
        <v>M</v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RIV</v>
      </c>
    </row>
    <row r="14" spans="1:36" ht="12.75">
      <c r="A14" s="6">
        <v>4.12</v>
      </c>
      <c r="B14" s="32" t="s">
        <v>32</v>
      </c>
      <c r="C14" s="33" t="s">
        <v>41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RIV</v>
      </c>
    </row>
    <row r="15" spans="1:36" ht="12.75">
      <c r="A15" s="6">
        <v>4.13</v>
      </c>
      <c r="B15" s="32" t="s">
        <v>32</v>
      </c>
      <c r="C15" s="33" t="s">
        <v>41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RIV</v>
      </c>
    </row>
    <row r="16" spans="1:36" ht="12.75">
      <c r="A16" s="6">
        <v>4.1399999999999997</v>
      </c>
      <c r="B16" s="32" t="s">
        <v>32</v>
      </c>
      <c r="C16" s="33" t="s">
        <v>41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RIV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53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RIV</v>
      </c>
    </row>
    <row r="19" spans="1:36" ht="12.75">
      <c r="A19" s="6">
        <v>4.17</v>
      </c>
      <c r="B19" s="33"/>
      <c r="C19" s="33" t="s">
        <v>53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RIV</v>
      </c>
    </row>
    <row r="20" spans="1:36" ht="12.75">
      <c r="A20" s="6">
        <v>4.18</v>
      </c>
      <c r="B20" s="33"/>
      <c r="C20" s="33" t="s">
        <v>53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RIV</v>
      </c>
    </row>
    <row r="21" spans="1:36" ht="12.75">
      <c r="A21" s="6">
        <v>4.1900000000000004</v>
      </c>
      <c r="B21" s="33"/>
      <c r="C21" s="33" t="s">
        <v>53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RIV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48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RIV</v>
      </c>
    </row>
    <row r="24" spans="1:36" ht="12.75">
      <c r="A24" s="6">
        <v>4.22</v>
      </c>
      <c r="B24" s="33"/>
      <c r="C24" s="33" t="s">
        <v>48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RIV</v>
      </c>
    </row>
    <row r="25" spans="1:36" ht="12.75">
      <c r="A25" s="6">
        <v>4.2300000000000004</v>
      </c>
      <c r="B25" s="33"/>
      <c r="C25" s="33" t="s">
        <v>48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RIV</v>
      </c>
    </row>
    <row r="26" spans="1:36" ht="12.75">
      <c r="A26" s="6">
        <v>4.24</v>
      </c>
      <c r="B26" s="33"/>
      <c r="C26" s="33" t="s">
        <v>48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RIV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2"/>
      <c r="C28" s="33" t="s">
        <v>35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RIV</v>
      </c>
    </row>
    <row r="29" spans="1:36" ht="12.75">
      <c r="A29" s="6">
        <v>4.2699999999999996</v>
      </c>
      <c r="B29" s="32"/>
      <c r="C29" s="33" t="s">
        <v>35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RIV</v>
      </c>
    </row>
    <row r="30" spans="1:36" ht="12.75">
      <c r="A30" s="6">
        <v>4.28</v>
      </c>
      <c r="B30" s="32"/>
      <c r="C30" s="33" t="s">
        <v>35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RIV</v>
      </c>
    </row>
    <row r="31" spans="1:36" ht="12.75">
      <c r="A31" s="6">
        <v>4.29</v>
      </c>
      <c r="B31" s="32"/>
      <c r="C31" s="33" t="s">
        <v>35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RIV</v>
      </c>
    </row>
    <row r="32" spans="1:36" ht="12.75">
      <c r="A32" s="6">
        <v>4.3</v>
      </c>
      <c r="B32" s="32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/>
      <c r="C33" s="33" t="s">
        <v>54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RIV</v>
      </c>
    </row>
    <row r="34" spans="1:36" ht="12.75">
      <c r="A34" s="6">
        <v>5.0199999999999996</v>
      </c>
      <c r="B34" s="33"/>
      <c r="C34" s="33" t="s">
        <v>54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RIV</v>
      </c>
    </row>
    <row r="35" spans="1:36" ht="12.75">
      <c r="A35" s="6">
        <v>5.03</v>
      </c>
      <c r="B35" s="33"/>
      <c r="C35" s="33" t="s">
        <v>54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RIV</v>
      </c>
    </row>
    <row r="36" spans="1:36" ht="12.75">
      <c r="A36" s="6">
        <v>5.04</v>
      </c>
      <c r="B36" s="33"/>
      <c r="C36" s="33" t="s">
        <v>54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RIV</v>
      </c>
    </row>
    <row r="37" spans="1:36" ht="12.75">
      <c r="A37" s="6">
        <v>5.05</v>
      </c>
      <c r="B37" s="33"/>
      <c r="C37" s="33" t="s">
        <v>49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RIV</v>
      </c>
    </row>
    <row r="38" spans="1:36" ht="12.75">
      <c r="A38" s="6">
        <v>5.0599999999999996</v>
      </c>
      <c r="B38" s="33"/>
      <c r="C38" s="33" t="s">
        <v>49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RIV</v>
      </c>
    </row>
    <row r="39" spans="1:36" ht="12.75">
      <c r="A39" s="6">
        <v>5.07</v>
      </c>
      <c r="B39" s="33"/>
      <c r="C39" s="33" t="s">
        <v>49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RIV</v>
      </c>
    </row>
    <row r="40" spans="1:36" ht="12.75">
      <c r="A40" s="6">
        <v>5.08</v>
      </c>
      <c r="B40" s="33"/>
      <c r="C40" s="33" t="s">
        <v>49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RIV</v>
      </c>
    </row>
    <row r="41" spans="1:36" ht="12.75">
      <c r="A41" s="6">
        <v>5.09</v>
      </c>
      <c r="B41" s="32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 t="s">
        <v>32</v>
      </c>
      <c r="C42" s="33" t="s">
        <v>46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RIV</v>
      </c>
    </row>
    <row r="43" spans="1:36" ht="12.75">
      <c r="A43" s="6">
        <v>5.1100000000000003</v>
      </c>
      <c r="B43" s="33" t="s">
        <v>32</v>
      </c>
      <c r="C43" s="33" t="s">
        <v>46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RIV</v>
      </c>
    </row>
    <row r="44" spans="1:36" ht="12.75">
      <c r="A44" s="6">
        <v>5.12</v>
      </c>
      <c r="B44" s="33" t="s">
        <v>32</v>
      </c>
      <c r="C44" s="33" t="s">
        <v>46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RIV</v>
      </c>
    </row>
    <row r="45" spans="1:36" ht="12.75">
      <c r="A45" s="6">
        <v>5.13</v>
      </c>
      <c r="B45" s="33" t="s">
        <v>32</v>
      </c>
      <c r="C45" s="33" t="s">
        <v>46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RIV</v>
      </c>
    </row>
    <row r="46" spans="1:36" ht="12.75">
      <c r="A46" s="6">
        <v>5.14</v>
      </c>
      <c r="B46" s="33" t="s">
        <v>32</v>
      </c>
      <c r="C46" s="76" t="s">
        <v>1918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RIV</v>
      </c>
    </row>
    <row r="47" spans="1:36" ht="12.75">
      <c r="A47" s="6">
        <v>5.15</v>
      </c>
      <c r="B47" s="33" t="s">
        <v>32</v>
      </c>
      <c r="C47" s="76" t="s">
        <v>1918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RIV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76" t="s">
        <v>1918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RIV</v>
      </c>
    </row>
    <row r="50" spans="1:36" ht="12.75">
      <c r="A50" s="6">
        <v>5.18</v>
      </c>
      <c r="B50" s="33" t="s">
        <v>32</v>
      </c>
      <c r="C50" s="76" t="s">
        <v>1918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RIV</v>
      </c>
    </row>
    <row r="51" spans="1:36" ht="12.75">
      <c r="A51" s="6">
        <v>5.19</v>
      </c>
      <c r="B51" s="33"/>
      <c r="C51" s="33" t="s">
        <v>15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RIV</v>
      </c>
    </row>
    <row r="52" spans="1:36" ht="12.75">
      <c r="A52" s="6">
        <v>5.2</v>
      </c>
      <c r="B52" s="33"/>
      <c r="C52" s="33" t="s">
        <v>15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RIV</v>
      </c>
    </row>
    <row r="53" spans="1:36" ht="12.75">
      <c r="A53" s="6">
        <v>5.21</v>
      </c>
      <c r="B53" s="33"/>
      <c r="C53" s="33" t="s">
        <v>15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RIV</v>
      </c>
    </row>
    <row r="54" spans="1:36" ht="12.75">
      <c r="A54" s="6">
        <v>5.22</v>
      </c>
      <c r="B54" s="33"/>
      <c r="C54" s="33" t="s">
        <v>15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RIV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42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RIV</v>
      </c>
    </row>
    <row r="57" spans="1:36" ht="12.75">
      <c r="A57" s="6">
        <v>5.25</v>
      </c>
      <c r="B57" s="33" t="s">
        <v>32</v>
      </c>
      <c r="C57" s="33" t="s">
        <v>42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RIV</v>
      </c>
    </row>
    <row r="58" spans="1:36" ht="12.75">
      <c r="A58" s="6">
        <v>5.26</v>
      </c>
      <c r="B58" s="33" t="s">
        <v>32</v>
      </c>
      <c r="C58" s="33" t="s">
        <v>42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RIV</v>
      </c>
    </row>
    <row r="59" spans="1:36" ht="12.75">
      <c r="A59" s="6">
        <v>5.27</v>
      </c>
      <c r="B59" s="33" t="s">
        <v>32</v>
      </c>
      <c r="C59" s="33" t="s">
        <v>42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RIV</v>
      </c>
    </row>
    <row r="60" spans="1:36" ht="12.75">
      <c r="A60" s="6">
        <v>5.28</v>
      </c>
      <c r="B60" s="33" t="s">
        <v>32</v>
      </c>
      <c r="C60" s="33" t="s">
        <v>1191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RIV</v>
      </c>
    </row>
    <row r="61" spans="1:36" ht="12.75">
      <c r="A61" s="6">
        <v>5.29</v>
      </c>
      <c r="B61" s="33" t="s">
        <v>32</v>
      </c>
      <c r="C61" s="33" t="s">
        <v>1191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RIV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1191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RIV</v>
      </c>
    </row>
    <row r="64" spans="1:36" ht="12.75">
      <c r="A64" s="6">
        <v>6.01</v>
      </c>
      <c r="B64" s="33" t="s">
        <v>32</v>
      </c>
      <c r="C64" s="33" t="s">
        <v>52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RIV</v>
      </c>
    </row>
    <row r="65" spans="1:36" ht="12.75">
      <c r="A65" s="6">
        <v>6.02</v>
      </c>
      <c r="B65" s="33" t="s">
        <v>32</v>
      </c>
      <c r="C65" s="33" t="s">
        <v>52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RIV</v>
      </c>
    </row>
    <row r="66" spans="1:36" ht="12.75">
      <c r="A66" s="6">
        <v>6.03</v>
      </c>
      <c r="B66" s="33" t="s">
        <v>32</v>
      </c>
      <c r="C66" s="33" t="s">
        <v>52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RIV</v>
      </c>
    </row>
    <row r="67" spans="1:36" ht="12.75">
      <c r="A67" s="6">
        <v>6.04</v>
      </c>
      <c r="B67" s="33" t="s">
        <v>32</v>
      </c>
      <c r="C67" s="33" t="s">
        <v>52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RIV</v>
      </c>
    </row>
    <row r="68" spans="1:36" ht="12.75">
      <c r="A68" s="6">
        <v>6.05</v>
      </c>
      <c r="B68" s="32" t="s">
        <v>32</v>
      </c>
      <c r="C68" s="33" t="s">
        <v>39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RIV</v>
      </c>
    </row>
    <row r="69" spans="1:36" ht="12.75">
      <c r="A69" s="6">
        <v>6.06</v>
      </c>
      <c r="B69" s="32" t="s">
        <v>32</v>
      </c>
      <c r="C69" s="33" t="s">
        <v>39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RIV</v>
      </c>
    </row>
    <row r="70" spans="1:36" ht="12.75">
      <c r="A70" s="6">
        <v>6.07</v>
      </c>
      <c r="B70" s="32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2" t="s">
        <v>32</v>
      </c>
      <c r="C71" s="33" t="s">
        <v>39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RIV</v>
      </c>
    </row>
    <row r="72" spans="1:36" ht="12.75">
      <c r="A72" s="6">
        <v>6.09</v>
      </c>
      <c r="B72" s="32" t="s">
        <v>32</v>
      </c>
      <c r="C72" s="33" t="s">
        <v>39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RIV</v>
      </c>
    </row>
    <row r="73" spans="1:36" ht="12.75">
      <c r="A73" s="6">
        <v>6.1</v>
      </c>
      <c r="B73" s="32" t="s">
        <v>32</v>
      </c>
      <c r="C73" s="33" t="s">
        <v>17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RIV</v>
      </c>
    </row>
    <row r="74" spans="1:36" ht="12.75">
      <c r="A74" s="6">
        <v>6.11</v>
      </c>
      <c r="B74" s="32" t="s">
        <v>32</v>
      </c>
      <c r="C74" s="33" t="s">
        <v>17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RIV</v>
      </c>
    </row>
    <row r="75" spans="1:36" ht="12.75">
      <c r="A75" s="6">
        <v>6.12</v>
      </c>
      <c r="B75" s="32" t="s">
        <v>32</v>
      </c>
      <c r="C75" s="33" t="s">
        <v>17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RIV</v>
      </c>
    </row>
    <row r="76" spans="1:36" ht="12.75">
      <c r="A76" s="6">
        <v>6.13</v>
      </c>
      <c r="B76" s="32" t="s">
        <v>32</v>
      </c>
      <c r="C76" s="33" t="s">
        <v>17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RIV</v>
      </c>
    </row>
    <row r="77" spans="1:36" ht="12.75">
      <c r="A77" s="6">
        <v>6.14</v>
      </c>
      <c r="B77" s="33"/>
      <c r="C77" s="33" t="s">
        <v>51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RIV</v>
      </c>
    </row>
    <row r="78" spans="1:36" ht="12.75">
      <c r="A78" s="6">
        <v>6.15</v>
      </c>
      <c r="B78" s="33"/>
      <c r="C78" s="33" t="s">
        <v>51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RIV</v>
      </c>
    </row>
    <row r="79" spans="1:36" ht="12.75">
      <c r="A79" s="6">
        <v>6.16</v>
      </c>
      <c r="B79" s="33"/>
      <c r="C79" s="33" t="s">
        <v>51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RIV</v>
      </c>
    </row>
    <row r="80" spans="1:36" ht="12.75">
      <c r="A80" s="6">
        <v>6.17</v>
      </c>
      <c r="B80" s="33"/>
      <c r="C80" s="33" t="s">
        <v>51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RIV</v>
      </c>
    </row>
    <row r="81" spans="1:36" ht="12.75">
      <c r="A81" s="6">
        <v>6.18</v>
      </c>
      <c r="B81" s="33"/>
      <c r="C81" s="33" t="s">
        <v>14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RIV</v>
      </c>
    </row>
    <row r="82" spans="1:36" ht="12.75">
      <c r="A82" s="6">
        <v>6.19</v>
      </c>
      <c r="B82" s="33"/>
      <c r="C82" s="33" t="s">
        <v>14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RIV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/>
      <c r="C84" s="33" t="s">
        <v>14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RIV</v>
      </c>
    </row>
    <row r="85" spans="1:36" ht="12.75">
      <c r="A85" s="6">
        <v>6.22</v>
      </c>
      <c r="B85" s="33"/>
      <c r="C85" s="33" t="s">
        <v>14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RIV</v>
      </c>
    </row>
    <row r="86" spans="1:36" ht="12.75">
      <c r="A86" s="6">
        <v>6.23</v>
      </c>
      <c r="B86" s="33" t="s">
        <v>32</v>
      </c>
      <c r="C86" s="33" t="s">
        <v>33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RIV</v>
      </c>
    </row>
    <row r="87" spans="1:36" ht="12.75">
      <c r="A87" s="6">
        <v>6.24</v>
      </c>
      <c r="B87" s="33" t="s">
        <v>32</v>
      </c>
      <c r="C87" s="33" t="s">
        <v>33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RIV</v>
      </c>
    </row>
    <row r="88" spans="1:36" ht="12.75">
      <c r="A88" s="6">
        <v>6.25</v>
      </c>
      <c r="B88" s="33" t="s">
        <v>32</v>
      </c>
      <c r="C88" s="33" t="s">
        <v>33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RIV</v>
      </c>
    </row>
    <row r="89" spans="1:36" ht="12.75">
      <c r="A89" s="6">
        <v>6.26</v>
      </c>
      <c r="B89" s="33" t="s">
        <v>32</v>
      </c>
      <c r="C89" s="33" t="s">
        <v>33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RIV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2.75">
      <c r="A91" s="6">
        <v>6.28</v>
      </c>
      <c r="B91" s="33"/>
      <c r="C91" s="33" t="s">
        <v>12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RIV</v>
      </c>
    </row>
    <row r="92" spans="1:36" ht="12.75">
      <c r="A92" s="6">
        <v>6.29</v>
      </c>
      <c r="B92" s="33"/>
      <c r="C92" s="33" t="s">
        <v>12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RIV</v>
      </c>
    </row>
    <row r="93" spans="1:36" ht="12.75">
      <c r="A93" s="6">
        <v>6.3</v>
      </c>
      <c r="B93" s="33"/>
      <c r="C93" s="33" t="s">
        <v>12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RIV</v>
      </c>
    </row>
    <row r="94" spans="1:36" ht="12.75">
      <c r="A94" s="6">
        <v>7.01</v>
      </c>
      <c r="B94" s="33"/>
      <c r="C94" s="33" t="s">
        <v>43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RIV</v>
      </c>
    </row>
    <row r="95" spans="1:36" ht="12.75">
      <c r="A95" s="6">
        <v>7.02</v>
      </c>
      <c r="B95" s="33"/>
      <c r="C95" s="33" t="s">
        <v>43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RIV</v>
      </c>
    </row>
    <row r="96" spans="1:36" ht="12.75">
      <c r="A96" s="6">
        <v>7.03</v>
      </c>
      <c r="B96" s="33"/>
      <c r="C96" s="33" t="s">
        <v>43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RIV</v>
      </c>
    </row>
    <row r="97" spans="1:36" ht="12.75">
      <c r="A97" s="6">
        <v>7.04</v>
      </c>
      <c r="B97" s="32" t="s">
        <v>32</v>
      </c>
      <c r="C97" s="33" t="s">
        <v>34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RIV</v>
      </c>
    </row>
    <row r="98" spans="1:36" ht="12.75">
      <c r="A98" s="6">
        <v>7.05</v>
      </c>
      <c r="B98" s="32" t="s">
        <v>32</v>
      </c>
      <c r="C98" s="33" t="s">
        <v>34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RIV</v>
      </c>
    </row>
    <row r="99" spans="1:36" ht="12.75">
      <c r="A99" s="6">
        <v>7.06</v>
      </c>
      <c r="B99" s="32" t="s">
        <v>32</v>
      </c>
      <c r="C99" s="33" t="s">
        <v>34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RIV</v>
      </c>
    </row>
    <row r="100" spans="1:36" ht="12.75">
      <c r="A100" s="6">
        <v>7.07</v>
      </c>
      <c r="B100" s="33" t="s">
        <v>32</v>
      </c>
      <c r="C100" s="33" t="s">
        <v>56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RIV</v>
      </c>
    </row>
    <row r="101" spans="1:36" ht="12.75">
      <c r="A101" s="6">
        <v>7.08</v>
      </c>
      <c r="B101" s="33" t="s">
        <v>32</v>
      </c>
      <c r="C101" s="33" t="s">
        <v>56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RIV</v>
      </c>
    </row>
    <row r="102" spans="1:36" ht="12.75">
      <c r="A102" s="6">
        <v>7.09</v>
      </c>
      <c r="B102" s="33" t="s">
        <v>32</v>
      </c>
      <c r="C102" s="33" t="s">
        <v>56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RIV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47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RIV</v>
      </c>
    </row>
    <row r="107" spans="1:36" ht="12.75">
      <c r="A107" s="6">
        <v>7.14</v>
      </c>
      <c r="B107" s="33"/>
      <c r="C107" s="33" t="s">
        <v>47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RIV</v>
      </c>
    </row>
    <row r="108" spans="1:36" ht="12.75">
      <c r="A108" s="6">
        <v>7.15</v>
      </c>
      <c r="B108" s="33"/>
      <c r="C108" s="33" t="s">
        <v>47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RIV</v>
      </c>
    </row>
    <row r="109" spans="1:36" ht="12.75">
      <c r="A109" s="6">
        <v>7.16</v>
      </c>
      <c r="B109" s="33"/>
      <c r="C109" s="76" t="s">
        <v>1917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RIV</v>
      </c>
    </row>
    <row r="110" spans="1:36" ht="12.75">
      <c r="A110" s="6">
        <v>7.17</v>
      </c>
      <c r="B110" s="33"/>
      <c r="C110" s="76" t="s">
        <v>1917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RIV</v>
      </c>
    </row>
    <row r="111" spans="1:36" ht="12.75">
      <c r="A111" s="6">
        <v>7.18</v>
      </c>
      <c r="B111" s="33"/>
      <c r="C111" s="76" t="s">
        <v>1917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RIV</v>
      </c>
    </row>
    <row r="112" spans="1:36" ht="12.75">
      <c r="A112" s="6">
        <v>7.19</v>
      </c>
      <c r="B112" s="33" t="s">
        <v>32</v>
      </c>
      <c r="C112" s="76" t="s">
        <v>1919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RIV</v>
      </c>
    </row>
    <row r="113" spans="1:36" ht="12.75">
      <c r="A113" s="6">
        <v>7.2</v>
      </c>
      <c r="B113" s="33" t="s">
        <v>32</v>
      </c>
      <c r="C113" s="76" t="s">
        <v>1919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RIV</v>
      </c>
    </row>
    <row r="114" spans="1:36" ht="12.75">
      <c r="A114" s="6">
        <v>7.21</v>
      </c>
      <c r="B114" s="33" t="s">
        <v>32</v>
      </c>
      <c r="C114" s="76" t="s">
        <v>1919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RIV</v>
      </c>
    </row>
    <row r="115" spans="1:36" ht="12.75">
      <c r="A115" s="6">
        <v>7.22</v>
      </c>
      <c r="B115" s="33" t="s">
        <v>32</v>
      </c>
      <c r="C115" s="76" t="s">
        <v>1919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RIV</v>
      </c>
    </row>
    <row r="116" spans="1:36" ht="12.75">
      <c r="A116" s="6">
        <v>7.23</v>
      </c>
      <c r="B116" s="33"/>
      <c r="C116" s="33" t="s">
        <v>45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RIV</v>
      </c>
    </row>
    <row r="117" spans="1:36" ht="12.75">
      <c r="A117" s="6">
        <v>7.24</v>
      </c>
      <c r="B117" s="33"/>
      <c r="C117" s="33" t="s">
        <v>45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RIV</v>
      </c>
    </row>
    <row r="118" spans="1:36" ht="12.75">
      <c r="A118" s="6">
        <v>7.25</v>
      </c>
      <c r="B118" s="33"/>
      <c r="C118" s="33" t="s">
        <v>45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RIV</v>
      </c>
    </row>
    <row r="119" spans="1:36" ht="12.75">
      <c r="A119" s="6">
        <v>7.26</v>
      </c>
      <c r="B119" s="33"/>
      <c r="C119" s="33" t="s">
        <v>45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RIV</v>
      </c>
    </row>
    <row r="120" spans="1:36" ht="12.75">
      <c r="A120" s="6">
        <v>7.27</v>
      </c>
      <c r="B120" s="33"/>
      <c r="C120" s="33" t="s">
        <v>55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RIV</v>
      </c>
    </row>
    <row r="121" spans="1:36" ht="12.75">
      <c r="A121" s="6">
        <v>7.28</v>
      </c>
      <c r="B121" s="33"/>
      <c r="C121" s="33" t="s">
        <v>55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RIV</v>
      </c>
    </row>
    <row r="122" spans="1:36" ht="12.75">
      <c r="A122" s="6">
        <v>7.29</v>
      </c>
      <c r="B122" s="33"/>
      <c r="C122" s="33" t="s">
        <v>55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RIV</v>
      </c>
    </row>
    <row r="123" spans="1:36" ht="12.75">
      <c r="A123" s="6">
        <v>7.3</v>
      </c>
      <c r="B123" s="33"/>
      <c r="C123" s="33" t="s">
        <v>55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RIV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13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RIV</v>
      </c>
    </row>
    <row r="126" spans="1:36" ht="12.75">
      <c r="A126" s="6">
        <v>8.02</v>
      </c>
      <c r="B126" s="33" t="s">
        <v>32</v>
      </c>
      <c r="C126" s="33" t="s">
        <v>13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RIV</v>
      </c>
    </row>
    <row r="127" spans="1:36" ht="12.75">
      <c r="A127" s="6">
        <v>8.0299999999999994</v>
      </c>
      <c r="B127" s="33" t="s">
        <v>32</v>
      </c>
      <c r="C127" s="33" t="s">
        <v>13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RIV</v>
      </c>
    </row>
    <row r="128" spans="1:36" ht="12.75">
      <c r="A128" s="6">
        <v>8.0399999999999991</v>
      </c>
      <c r="B128" s="33" t="s">
        <v>32</v>
      </c>
      <c r="C128" s="33" t="s">
        <v>13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RIV</v>
      </c>
    </row>
    <row r="129" spans="1:36" ht="12.75">
      <c r="A129" s="6">
        <v>8.0500000000000007</v>
      </c>
      <c r="B129" s="33" t="s">
        <v>32</v>
      </c>
      <c r="C129" s="33" t="s">
        <v>43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RIV</v>
      </c>
    </row>
    <row r="130" spans="1:36" ht="12.75">
      <c r="A130" s="6">
        <v>8.06</v>
      </c>
      <c r="B130" s="33" t="s">
        <v>32</v>
      </c>
      <c r="C130" s="33" t="s">
        <v>43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RIV</v>
      </c>
    </row>
    <row r="131" spans="1:36" ht="12.75">
      <c r="A131" s="6">
        <v>8.07</v>
      </c>
      <c r="B131" s="33" t="s">
        <v>32</v>
      </c>
      <c r="C131" s="33" t="s">
        <v>43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RIV</v>
      </c>
    </row>
    <row r="132" spans="1:36" ht="12.75">
      <c r="A132" s="6">
        <v>8.08</v>
      </c>
      <c r="B132" s="33" t="s">
        <v>32</v>
      </c>
      <c r="C132" s="33" t="s">
        <v>43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RIV</v>
      </c>
    </row>
    <row r="133" spans="1:36" ht="12.75">
      <c r="A133" s="6">
        <v>8.09</v>
      </c>
      <c r="B133" s="33" t="s">
        <v>32</v>
      </c>
      <c r="C133" s="76" t="s">
        <v>1917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RIV</v>
      </c>
    </row>
    <row r="134" spans="1:36" ht="12.75">
      <c r="A134" s="6">
        <v>8.1</v>
      </c>
      <c r="B134" s="33" t="s">
        <v>32</v>
      </c>
      <c r="C134" s="76" t="s">
        <v>1917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RIV</v>
      </c>
    </row>
    <row r="135" spans="1:36" ht="12.75">
      <c r="A135" s="6">
        <v>8.11</v>
      </c>
      <c r="B135" s="33" t="s">
        <v>32</v>
      </c>
      <c r="C135" s="76" t="s">
        <v>1917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RIV</v>
      </c>
    </row>
    <row r="136" spans="1:36" ht="12.75">
      <c r="A136" s="6">
        <v>8.1199999999999992</v>
      </c>
      <c r="B136" s="33" t="s">
        <v>32</v>
      </c>
      <c r="C136" s="76" t="s">
        <v>1917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RIV</v>
      </c>
    </row>
    <row r="137" spans="1:36" ht="12.75">
      <c r="A137" s="6">
        <v>8.1300000000000008</v>
      </c>
      <c r="B137" s="33" t="s">
        <v>32</v>
      </c>
      <c r="C137" s="33" t="s">
        <v>12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RIV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 t="s">
        <v>32</v>
      </c>
      <c r="C139" s="33" t="s">
        <v>12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RIV</v>
      </c>
    </row>
    <row r="140" spans="1:36" ht="12.75">
      <c r="A140" s="6">
        <v>8.16</v>
      </c>
      <c r="B140" s="33" t="s">
        <v>32</v>
      </c>
      <c r="C140" s="33" t="s">
        <v>12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RIV</v>
      </c>
    </row>
    <row r="141" spans="1:36" ht="12.75">
      <c r="A141" s="6">
        <v>8.17</v>
      </c>
      <c r="B141" s="33" t="s">
        <v>32</v>
      </c>
      <c r="C141" s="33" t="s">
        <v>12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RIV</v>
      </c>
    </row>
    <row r="142" spans="1:36" ht="12.75">
      <c r="A142" s="6">
        <v>8.18</v>
      </c>
      <c r="B142" s="33" t="s">
        <v>32</v>
      </c>
      <c r="C142" s="33" t="s">
        <v>54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RIV</v>
      </c>
    </row>
    <row r="143" spans="1:36" ht="12.75">
      <c r="A143" s="6">
        <v>8.19</v>
      </c>
      <c r="B143" s="33" t="s">
        <v>32</v>
      </c>
      <c r="C143" s="33" t="s">
        <v>54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RIV</v>
      </c>
    </row>
    <row r="144" spans="1:36" ht="12.75">
      <c r="A144" s="6">
        <v>8.1999999999999993</v>
      </c>
      <c r="B144" s="33" t="s">
        <v>32</v>
      </c>
      <c r="C144" s="33" t="s">
        <v>54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RIV</v>
      </c>
    </row>
    <row r="145" spans="1:36" ht="12.75">
      <c r="A145" s="6">
        <v>8.2100000000000009</v>
      </c>
      <c r="B145" s="33" t="s">
        <v>32</v>
      </c>
      <c r="C145" s="33" t="s">
        <v>47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RIV</v>
      </c>
    </row>
    <row r="146" spans="1:36" ht="12.75">
      <c r="A146" s="6">
        <v>8.2200000000000006</v>
      </c>
      <c r="B146" s="33" t="s">
        <v>32</v>
      </c>
      <c r="C146" s="33" t="s">
        <v>47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RIV</v>
      </c>
    </row>
    <row r="147" spans="1:36" ht="12.75">
      <c r="A147" s="6">
        <v>8.23</v>
      </c>
      <c r="B147" s="33" t="s">
        <v>32</v>
      </c>
      <c r="C147" s="33" t="s">
        <v>47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RIV</v>
      </c>
    </row>
    <row r="148" spans="1:36" ht="12.75">
      <c r="A148" s="6">
        <v>8.24</v>
      </c>
      <c r="B148" s="33" t="s">
        <v>32</v>
      </c>
      <c r="C148" s="33" t="s">
        <v>47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RIV</v>
      </c>
    </row>
    <row r="149" spans="1:36" ht="12.75">
      <c r="A149" s="6">
        <v>8.25</v>
      </c>
      <c r="B149" s="33"/>
      <c r="C149" s="33" t="s">
        <v>34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RIV</v>
      </c>
    </row>
    <row r="150" spans="1:36" ht="12.75">
      <c r="A150" s="6">
        <v>8.26</v>
      </c>
      <c r="B150" s="33"/>
      <c r="C150" s="33" t="s">
        <v>34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RIV</v>
      </c>
    </row>
    <row r="151" spans="1:36" ht="12.75">
      <c r="A151" s="6">
        <v>8.27</v>
      </c>
      <c r="B151" s="33"/>
      <c r="C151" s="33" t="s">
        <v>34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RIV</v>
      </c>
    </row>
    <row r="152" spans="1:36" ht="12.75">
      <c r="A152" s="6">
        <v>8.2799999999999994</v>
      </c>
      <c r="B152" s="33"/>
      <c r="C152" s="33" t="s">
        <v>34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RIV</v>
      </c>
    </row>
    <row r="153" spans="1:36" ht="12.75">
      <c r="A153" s="6">
        <v>8.2899999999999991</v>
      </c>
      <c r="B153" s="33" t="s">
        <v>32</v>
      </c>
      <c r="C153" s="33" t="s">
        <v>49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RIV</v>
      </c>
    </row>
    <row r="154" spans="1:36" ht="12.75">
      <c r="A154" s="6">
        <v>8.3000000000000007</v>
      </c>
      <c r="B154" s="33" t="s">
        <v>32</v>
      </c>
      <c r="C154" s="33" t="s">
        <v>49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RIV</v>
      </c>
    </row>
    <row r="155" spans="1:36" ht="12.75">
      <c r="A155" s="6">
        <v>8.31</v>
      </c>
      <c r="B155" s="33" t="s">
        <v>32</v>
      </c>
      <c r="C155" s="33" t="s">
        <v>49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RIV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2" t="s">
        <v>32</v>
      </c>
      <c r="C157" s="33" t="s">
        <v>15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RIV</v>
      </c>
    </row>
    <row r="158" spans="1:36" ht="12.75">
      <c r="A158" s="6">
        <v>9.0299999999999994</v>
      </c>
      <c r="B158" s="32" t="s">
        <v>32</v>
      </c>
      <c r="C158" s="33" t="s">
        <v>15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RIV</v>
      </c>
    </row>
    <row r="159" spans="1:36" ht="12.75">
      <c r="A159" s="6">
        <v>9.0399999999999991</v>
      </c>
      <c r="B159" s="32" t="s">
        <v>32</v>
      </c>
      <c r="C159" s="33" t="s">
        <v>15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RIV</v>
      </c>
    </row>
    <row r="160" spans="1:36" ht="12.75">
      <c r="A160" s="6">
        <v>9.0500000000000007</v>
      </c>
      <c r="B160" s="33"/>
      <c r="C160" s="33" t="s">
        <v>39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RIV</v>
      </c>
    </row>
    <row r="161" spans="1:36" ht="12.75">
      <c r="A161" s="6">
        <v>9.06</v>
      </c>
      <c r="B161" s="33"/>
      <c r="C161" s="33" t="s">
        <v>39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RIV</v>
      </c>
    </row>
    <row r="162" spans="1:36" ht="12.75">
      <c r="A162" s="6">
        <v>9.07</v>
      </c>
      <c r="B162" s="33"/>
      <c r="C162" s="33" t="s">
        <v>39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RIV</v>
      </c>
    </row>
    <row r="163" spans="1:36" ht="12.75">
      <c r="A163" s="6">
        <v>9.08</v>
      </c>
      <c r="B163" s="33"/>
      <c r="C163" s="33" t="s">
        <v>53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RIV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53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RIV</v>
      </c>
    </row>
    <row r="166" spans="1:36" ht="12.75">
      <c r="A166" s="6">
        <v>9.11</v>
      </c>
      <c r="B166" s="33"/>
      <c r="C166" s="33" t="s">
        <v>53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RIV</v>
      </c>
    </row>
    <row r="167" spans="1:36" ht="12.75">
      <c r="A167" s="6">
        <v>9.1199999999999992</v>
      </c>
      <c r="B167" s="33"/>
      <c r="C167" s="33" t="s">
        <v>1191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RIV</v>
      </c>
    </row>
    <row r="168" spans="1:36" ht="12.75">
      <c r="A168" s="6">
        <v>9.1300000000000008</v>
      </c>
      <c r="B168" s="33"/>
      <c r="C168" s="33" t="s">
        <v>1191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RIV</v>
      </c>
    </row>
    <row r="169" spans="1:36" ht="12.75">
      <c r="A169" s="6">
        <v>9.14</v>
      </c>
      <c r="B169" s="33"/>
      <c r="C169" s="33" t="s">
        <v>1191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RIV</v>
      </c>
    </row>
    <row r="170" spans="1:36" ht="12.75">
      <c r="A170" s="6">
        <v>9.15</v>
      </c>
      <c r="B170" s="33"/>
      <c r="C170" s="33" t="s">
        <v>1191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RIV</v>
      </c>
    </row>
    <row r="171" spans="1:36" ht="12.75">
      <c r="A171" s="6">
        <v>9.16</v>
      </c>
      <c r="B171" s="33"/>
      <c r="C171" s="33" t="s">
        <v>13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RIV</v>
      </c>
    </row>
    <row r="172" spans="1:36" ht="12.75">
      <c r="A172" s="6">
        <v>9.17</v>
      </c>
      <c r="B172" s="33"/>
      <c r="C172" s="33" t="s">
        <v>13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RIV</v>
      </c>
    </row>
    <row r="173" spans="1:36" ht="12.75">
      <c r="A173" s="6">
        <v>9.18</v>
      </c>
      <c r="B173" s="33"/>
      <c r="C173" s="33" t="s">
        <v>13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RIV</v>
      </c>
    </row>
    <row r="174" spans="1:36" ht="12.75">
      <c r="A174" s="6">
        <v>9.19</v>
      </c>
      <c r="B174" s="33"/>
      <c r="C174" s="33" t="s">
        <v>56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RIV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56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RIV</v>
      </c>
    </row>
    <row r="177" spans="1:36" ht="12.75">
      <c r="A177" s="6">
        <v>9.2200000000000006</v>
      </c>
      <c r="B177" s="33"/>
      <c r="C177" s="33" t="s">
        <v>56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RIV</v>
      </c>
    </row>
    <row r="178" spans="1:36" ht="12.75">
      <c r="A178" s="6">
        <v>9.23</v>
      </c>
      <c r="B178" s="33"/>
      <c r="C178" s="33" t="s">
        <v>56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RIV</v>
      </c>
    </row>
    <row r="179" spans="1:36" ht="12.75">
      <c r="A179" s="6">
        <v>9.24</v>
      </c>
      <c r="B179" s="33" t="s">
        <v>32</v>
      </c>
      <c r="C179" s="33" t="s">
        <v>44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RIV</v>
      </c>
    </row>
    <row r="180" spans="1:36" ht="12.75">
      <c r="A180" s="6">
        <v>9.25</v>
      </c>
      <c r="B180" s="33" t="s">
        <v>32</v>
      </c>
      <c r="C180" s="33" t="s">
        <v>44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RIV</v>
      </c>
    </row>
    <row r="181" spans="1:36" ht="12.75">
      <c r="A181" s="6">
        <v>9.26</v>
      </c>
      <c r="B181" s="33" t="s">
        <v>32</v>
      </c>
      <c r="C181" s="33" t="s">
        <v>44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RIV</v>
      </c>
    </row>
    <row r="182" spans="1:36" ht="12.75">
      <c r="A182" s="6">
        <v>9.27</v>
      </c>
      <c r="B182" s="33"/>
      <c r="C182" s="33" t="s">
        <v>33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RIV</v>
      </c>
    </row>
    <row r="183" spans="1:36" ht="12.75">
      <c r="A183" s="6">
        <v>9.2799999999999994</v>
      </c>
      <c r="B183" s="33"/>
      <c r="C183" s="33" t="s">
        <v>33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RIV</v>
      </c>
    </row>
    <row r="184" spans="1:36" ht="12.75">
      <c r="A184" s="6">
        <v>9.2899999999999991</v>
      </c>
      <c r="B184" s="33"/>
      <c r="C184" s="33" t="s">
        <v>33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RIV</v>
      </c>
    </row>
    <row r="185" spans="1:36" ht="12.75">
      <c r="A185" s="6">
        <v>9.3000000000000007</v>
      </c>
      <c r="B185" s="33"/>
      <c r="C185" s="33" t="s">
        <v>33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RIV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K197" s="2"/>
      <c r="AJ197" s="2"/>
    </row>
    <row r="198" spans="3:36">
      <c r="C198" s="2"/>
      <c r="K198" s="2"/>
      <c r="AJ198" s="2"/>
    </row>
    <row r="199" spans="3:36">
      <c r="C199" s="2"/>
      <c r="K199" s="2"/>
      <c r="AJ199" s="2"/>
    </row>
    <row r="200" spans="3:36">
      <c r="C200" s="2"/>
      <c r="K200" s="2"/>
      <c r="AJ200" s="2"/>
    </row>
    <row r="201" spans="3:36">
      <c r="C201" s="2"/>
      <c r="K201" s="2"/>
      <c r="AJ201" s="2"/>
    </row>
    <row r="202" spans="3:36">
      <c r="C202" s="2"/>
      <c r="K202" s="2"/>
      <c r="AJ202" s="2"/>
    </row>
    <row r="203" spans="3:36">
      <c r="C203" s="2"/>
      <c r="K203" s="2"/>
      <c r="AJ203" s="2"/>
    </row>
    <row r="204" spans="3:36">
      <c r="C204" s="2"/>
      <c r="AJ204" s="2"/>
    </row>
    <row r="205" spans="3:36">
      <c r="C205" s="2"/>
      <c r="AJ205" s="2"/>
    </row>
    <row r="206" spans="3:36">
      <c r="C206" s="2"/>
      <c r="AJ206" s="2"/>
    </row>
    <row r="207" spans="3:36">
      <c r="C207" s="2"/>
      <c r="AJ207" s="2"/>
    </row>
    <row r="208" spans="3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</sheetData>
  <phoneticPr fontId="0" type="noConversion"/>
  <conditionalFormatting sqref="AG3:AG22">
    <cfRule type="cellIs" dxfId="1463" priority="3369" stopIfTrue="1" operator="equal">
      <formula>"must average at least 5 innings per start"</formula>
    </cfRule>
  </conditionalFormatting>
  <conditionalFormatting sqref="AG23">
    <cfRule type="cellIs" dxfId="1462" priority="3370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461" priority="3372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1460" priority="3373" stopIfTrue="1" operator="equal">
      <formula>"input a different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459" priority="290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458" priority="290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457" priority="290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456" priority="290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455" priority="290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454" priority="290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453" priority="2903" stopIfTrue="1" operator="equal">
      <formula>"input starter in column C"</formula>
    </cfRule>
  </conditionalFormatting>
  <conditionalFormatting sqref="P3">
    <cfRule type="cellIs" dxfId="1452" priority="2902" stopIfTrue="1" operator="equal">
      <formula>"input starter in column D"</formula>
    </cfRule>
  </conditionalFormatting>
  <conditionalFormatting sqref="P4">
    <cfRule type="cellIs" dxfId="1451" priority="2901" stopIfTrue="1" operator="equal">
      <formula>"input starter in column D"</formula>
    </cfRule>
  </conditionalFormatting>
  <conditionalFormatting sqref="P5">
    <cfRule type="cellIs" dxfId="1450" priority="2900" stopIfTrue="1" operator="equal">
      <formula>"INPUT STARTER IN COLUMN D"</formula>
    </cfRule>
  </conditionalFormatting>
  <conditionalFormatting sqref="P6">
    <cfRule type="cellIs" dxfId="1449" priority="2899" stopIfTrue="1" operator="equal">
      <formula>"INPUT STARTER IN COLUMN D"</formula>
    </cfRule>
  </conditionalFormatting>
  <conditionalFormatting sqref="P8">
    <cfRule type="cellIs" dxfId="1448" priority="2898" stopIfTrue="1" operator="equal">
      <formula>"INPUT STARTER IN COLUMN D"</formula>
    </cfRule>
  </conditionalFormatting>
  <conditionalFormatting sqref="P9">
    <cfRule type="cellIs" dxfId="1447" priority="2897" stopIfTrue="1" operator="equal">
      <formula>"INPUT STARTER IN COLUMN D"</formula>
    </cfRule>
  </conditionalFormatting>
  <conditionalFormatting sqref="P10">
    <cfRule type="cellIs" dxfId="1446" priority="2896" stopIfTrue="1" operator="equal">
      <formula>"INPUT STARTER IN COLUMN D"</formula>
    </cfRule>
  </conditionalFormatting>
  <conditionalFormatting sqref="P11">
    <cfRule type="cellIs" dxfId="1445" priority="2895" stopIfTrue="1" operator="equal">
      <formula>"INPUT STARTER IN COLUMN D"</formula>
    </cfRule>
  </conditionalFormatting>
  <conditionalFormatting sqref="P13">
    <cfRule type="cellIs" dxfId="1444" priority="2894" stopIfTrue="1" operator="equal">
      <formula>"INPUT STARTER IN COLUMN D"</formula>
    </cfRule>
  </conditionalFormatting>
  <conditionalFormatting sqref="P14">
    <cfRule type="cellIs" dxfId="1443" priority="2893" stopIfTrue="1" operator="equal">
      <formula>"INPUT STARTER IN COLUMN D"</formula>
    </cfRule>
  </conditionalFormatting>
  <conditionalFormatting sqref="P15">
    <cfRule type="cellIs" dxfId="1442" priority="2892" stopIfTrue="1" operator="equal">
      <formula>"INPUT STARTER IN COLUMN D"</formula>
    </cfRule>
  </conditionalFormatting>
  <conditionalFormatting sqref="P16">
    <cfRule type="cellIs" dxfId="1441" priority="2891" stopIfTrue="1" operator="equal">
      <formula>"INPUT STARTER IN COLUMN D"</formula>
    </cfRule>
  </conditionalFormatting>
  <conditionalFormatting sqref="P18">
    <cfRule type="cellIs" dxfId="1440" priority="2890" stopIfTrue="1" operator="equal">
      <formula>"INPUT STARTER IN COLUMN D"</formula>
    </cfRule>
  </conditionalFormatting>
  <conditionalFormatting sqref="P19">
    <cfRule type="cellIs" dxfId="1439" priority="2889" stopIfTrue="1" operator="equal">
      <formula>"INPUT STARTER IN COLUMN D"</formula>
    </cfRule>
  </conditionalFormatting>
  <conditionalFormatting sqref="P20">
    <cfRule type="cellIs" dxfId="1438" priority="2888" stopIfTrue="1" operator="equal">
      <formula>"INPUT STARTER IN COLUMN D"</formula>
    </cfRule>
  </conditionalFormatting>
  <conditionalFormatting sqref="P21">
    <cfRule type="cellIs" dxfId="1437" priority="2887" stopIfTrue="1" operator="equal">
      <formula>"INPUT STARTER IN COLUMN D"</formula>
    </cfRule>
  </conditionalFormatting>
  <conditionalFormatting sqref="P23">
    <cfRule type="cellIs" dxfId="1436" priority="2886" stopIfTrue="1" operator="equal">
      <formula>"INPUT STARTER IN COLUMN D"</formula>
    </cfRule>
  </conditionalFormatting>
  <conditionalFormatting sqref="P24">
    <cfRule type="cellIs" dxfId="1435" priority="2885" stopIfTrue="1" operator="equal">
      <formula>"INPUT STARTER IN COLUMN D"</formula>
    </cfRule>
  </conditionalFormatting>
  <conditionalFormatting sqref="P25">
    <cfRule type="cellIs" dxfId="1434" priority="2884" stopIfTrue="1" operator="equal">
      <formula>"INPUT STARTER IN COLUMN D"</formula>
    </cfRule>
  </conditionalFormatting>
  <conditionalFormatting sqref="P26">
    <cfRule type="cellIs" dxfId="1433" priority="2883" stopIfTrue="1" operator="equal">
      <formula>"INPUT STARTER IN COLUMN D"</formula>
    </cfRule>
  </conditionalFormatting>
  <conditionalFormatting sqref="P28">
    <cfRule type="cellIs" dxfId="1432" priority="2882" stopIfTrue="1" operator="equal">
      <formula>"INPUT STARTER IN COLUMN D"</formula>
    </cfRule>
  </conditionalFormatting>
  <conditionalFormatting sqref="P29">
    <cfRule type="cellIs" dxfId="1431" priority="2881" stopIfTrue="1" operator="equal">
      <formula>"INPUT STARTER IN COLUMN D"</formula>
    </cfRule>
  </conditionalFormatting>
  <conditionalFormatting sqref="P30">
    <cfRule type="cellIs" dxfId="1430" priority="2880" stopIfTrue="1" operator="equal">
      <formula>"INPUT STARTER IN COLUMN D"</formula>
    </cfRule>
  </conditionalFormatting>
  <conditionalFormatting sqref="P31">
    <cfRule type="cellIs" dxfId="1429" priority="2879" stopIfTrue="1" operator="equal">
      <formula>"INPUT STARTER IN COLUMN D"</formula>
    </cfRule>
  </conditionalFormatting>
  <conditionalFormatting sqref="P33">
    <cfRule type="cellIs" dxfId="1428" priority="2878" stopIfTrue="1" operator="equal">
      <formula>"INPUT STARTER IN COLUMN D"</formula>
    </cfRule>
  </conditionalFormatting>
  <conditionalFormatting sqref="P34">
    <cfRule type="cellIs" dxfId="1427" priority="2877" stopIfTrue="1" operator="equal">
      <formula>"INPUT STARTER IN COLUMN D"</formula>
    </cfRule>
  </conditionalFormatting>
  <conditionalFormatting sqref="P35">
    <cfRule type="cellIs" dxfId="1426" priority="2876" stopIfTrue="1" operator="equal">
      <formula>"INPUT STARTER IN COLUMN D"</formula>
    </cfRule>
  </conditionalFormatting>
  <conditionalFormatting sqref="P36">
    <cfRule type="cellIs" dxfId="1425" priority="2875" stopIfTrue="1" operator="equal">
      <formula>"INPUT STARTER IN COLUMN D"</formula>
    </cfRule>
  </conditionalFormatting>
  <conditionalFormatting sqref="P37">
    <cfRule type="cellIs" dxfId="1424" priority="2874" stopIfTrue="1" operator="equal">
      <formula>"INPUT STARTER IN COLUMN D"</formula>
    </cfRule>
  </conditionalFormatting>
  <conditionalFormatting sqref="P38">
    <cfRule type="cellIs" dxfId="1423" priority="2873" stopIfTrue="1" operator="equal">
      <formula>"INPUT STARTER IN COLUMN D"</formula>
    </cfRule>
  </conditionalFormatting>
  <conditionalFormatting sqref="P39">
    <cfRule type="cellIs" dxfId="1422" priority="2872" stopIfTrue="1" operator="equal">
      <formula>"INPUT STARTER IN COLUMN D"</formula>
    </cfRule>
  </conditionalFormatting>
  <conditionalFormatting sqref="P40">
    <cfRule type="cellIs" dxfId="1421" priority="2871" stopIfTrue="1" operator="equal">
      <formula>"INPUT STARTER IN COLUMN D"</formula>
    </cfRule>
  </conditionalFormatting>
  <conditionalFormatting sqref="P42">
    <cfRule type="cellIs" dxfId="1420" priority="2870" stopIfTrue="1" operator="equal">
      <formula>"INPUT STARTER IN COLUMN D"</formula>
    </cfRule>
  </conditionalFormatting>
  <conditionalFormatting sqref="P43">
    <cfRule type="cellIs" dxfId="1419" priority="2869" stopIfTrue="1" operator="equal">
      <formula>"INPUT STARTER IN COLUMN D"</formula>
    </cfRule>
  </conditionalFormatting>
  <conditionalFormatting sqref="P44">
    <cfRule type="cellIs" dxfId="1418" priority="2868" stopIfTrue="1" operator="equal">
      <formula>"INPUT STARTER IN COLUMN D"</formula>
    </cfRule>
  </conditionalFormatting>
  <conditionalFormatting sqref="P45">
    <cfRule type="cellIs" dxfId="1417" priority="2867" stopIfTrue="1" operator="equal">
      <formula>"INPUT STARTER IN COLUMN D"</formula>
    </cfRule>
  </conditionalFormatting>
  <conditionalFormatting sqref="P46">
    <cfRule type="cellIs" dxfId="1416" priority="2866" stopIfTrue="1" operator="equal">
      <formula>"INPUT STARTER IN COLUMN D"</formula>
    </cfRule>
  </conditionalFormatting>
  <conditionalFormatting sqref="P47">
    <cfRule type="cellIs" dxfId="1415" priority="2865" stopIfTrue="1" operator="equal">
      <formula>"INPUT STARTER IN COLUMN D"</formula>
    </cfRule>
  </conditionalFormatting>
  <conditionalFormatting sqref="P49">
    <cfRule type="cellIs" dxfId="1414" priority="2864" stopIfTrue="1" operator="equal">
      <formula>"INPUT STARTER IN COLUMN D"</formula>
    </cfRule>
  </conditionalFormatting>
  <conditionalFormatting sqref="P50">
    <cfRule type="cellIs" dxfId="1413" priority="2863" stopIfTrue="1" operator="equal">
      <formula>"INPUT STARTER IN COLUMN D"</formula>
    </cfRule>
  </conditionalFormatting>
  <conditionalFormatting sqref="P51">
    <cfRule type="cellIs" dxfId="1412" priority="2862" stopIfTrue="1" operator="equal">
      <formula>"INPUT STARTER IN COLUMN D"</formula>
    </cfRule>
  </conditionalFormatting>
  <conditionalFormatting sqref="P52">
    <cfRule type="cellIs" dxfId="1411" priority="2861" stopIfTrue="1" operator="equal">
      <formula>"INPUT STARTER IN COLUMN D"</formula>
    </cfRule>
  </conditionalFormatting>
  <conditionalFormatting sqref="P53">
    <cfRule type="cellIs" dxfId="1410" priority="2860" stopIfTrue="1" operator="equal">
      <formula>"INPUT STARTER IN COLUMN D"</formula>
    </cfRule>
  </conditionalFormatting>
  <conditionalFormatting sqref="P54">
    <cfRule type="cellIs" dxfId="1409" priority="2859" stopIfTrue="1" operator="equal">
      <formula>"INPUT STARTER IN COLUMN D"</formula>
    </cfRule>
  </conditionalFormatting>
  <conditionalFormatting sqref="P56">
    <cfRule type="cellIs" dxfId="1408" priority="2858" stopIfTrue="1" operator="equal">
      <formula>"INPUT STARTER IN COLUMN D"</formula>
    </cfRule>
  </conditionalFormatting>
  <conditionalFormatting sqref="P57">
    <cfRule type="cellIs" dxfId="1407" priority="2857" stopIfTrue="1" operator="equal">
      <formula>"INPUT STARTER IN COLUMN D"</formula>
    </cfRule>
  </conditionalFormatting>
  <conditionalFormatting sqref="P58">
    <cfRule type="cellIs" dxfId="1406" priority="2856" stopIfTrue="1" operator="equal">
      <formula>"INPUT STARTER IN COLUMN D"</formula>
    </cfRule>
  </conditionalFormatting>
  <conditionalFormatting sqref="P59">
    <cfRule type="cellIs" dxfId="1405" priority="2855" stopIfTrue="1" operator="equal">
      <formula>"INPUT STARTER IN COLUMN D"</formula>
    </cfRule>
  </conditionalFormatting>
  <conditionalFormatting sqref="P60">
    <cfRule type="cellIs" dxfId="1404" priority="2854" stopIfTrue="1" operator="equal">
      <formula>"INPUT STARTER IN COLUMN D"</formula>
    </cfRule>
  </conditionalFormatting>
  <conditionalFormatting sqref="P61">
    <cfRule type="cellIs" dxfId="1403" priority="2853" stopIfTrue="1" operator="equal">
      <formula>"INPUT STARTER IN COLUMN D"</formula>
    </cfRule>
  </conditionalFormatting>
  <conditionalFormatting sqref="P63">
    <cfRule type="cellIs" dxfId="1402" priority="2852" stopIfTrue="1" operator="equal">
      <formula>"INPUT STARTER IN COLUMN D"</formula>
    </cfRule>
  </conditionalFormatting>
  <conditionalFormatting sqref="P64">
    <cfRule type="cellIs" dxfId="1401" priority="2851" stopIfTrue="1" operator="equal">
      <formula>"INPUT STARTER IN COLUMN D"</formula>
    </cfRule>
  </conditionalFormatting>
  <conditionalFormatting sqref="P65">
    <cfRule type="cellIs" dxfId="1400" priority="2850" stopIfTrue="1" operator="equal">
      <formula>"INPUT STARTER IN COLUMN D"</formula>
    </cfRule>
  </conditionalFormatting>
  <conditionalFormatting sqref="P66">
    <cfRule type="cellIs" dxfId="1399" priority="2849" stopIfTrue="1" operator="equal">
      <formula>"INPUT STARTER IN COLUMN D"</formula>
    </cfRule>
  </conditionalFormatting>
  <conditionalFormatting sqref="P67">
    <cfRule type="cellIs" dxfId="1398" priority="2848" stopIfTrue="1" operator="equal">
      <formula>"INPUT STARTER IN COLUMN D"</formula>
    </cfRule>
  </conditionalFormatting>
  <conditionalFormatting sqref="P68">
    <cfRule type="cellIs" dxfId="1397" priority="2847" stopIfTrue="1" operator="equal">
      <formula>"INPUT STARTER IN COLUMN D"</formula>
    </cfRule>
  </conditionalFormatting>
  <conditionalFormatting sqref="P69">
    <cfRule type="cellIs" dxfId="1396" priority="2846" stopIfTrue="1" operator="equal">
      <formula>"INPUT STARTER IN COLUMN D"</formula>
    </cfRule>
  </conditionalFormatting>
  <conditionalFormatting sqref="P71">
    <cfRule type="cellIs" dxfId="1395" priority="2845" stopIfTrue="1" operator="equal">
      <formula>"INPUT STARTER IN COLUMN D"</formula>
    </cfRule>
  </conditionalFormatting>
  <conditionalFormatting sqref="P72">
    <cfRule type="cellIs" dxfId="1394" priority="2844" stopIfTrue="1" operator="equal">
      <formula>"INPUT STARTER IN COLUMN D"</formula>
    </cfRule>
  </conditionalFormatting>
  <conditionalFormatting sqref="P73">
    <cfRule type="cellIs" dxfId="1393" priority="2843" stopIfTrue="1" operator="equal">
      <formula>"INPUT STARTER IN COLUMN D"</formula>
    </cfRule>
  </conditionalFormatting>
  <conditionalFormatting sqref="P74">
    <cfRule type="cellIs" dxfId="1392" priority="2842" stopIfTrue="1" operator="equal">
      <formula>"INPUT STARTER IN COLUMN D"</formula>
    </cfRule>
  </conditionalFormatting>
  <conditionalFormatting sqref="P75">
    <cfRule type="cellIs" dxfId="1391" priority="2841" stopIfTrue="1" operator="equal">
      <formula>"INPUT STARTER IN COLUMN D"</formula>
    </cfRule>
  </conditionalFormatting>
  <conditionalFormatting sqref="P76">
    <cfRule type="cellIs" dxfId="1390" priority="2840" stopIfTrue="1" operator="equal">
      <formula>"INPUT STARTER IN COLUMN D"</formula>
    </cfRule>
  </conditionalFormatting>
  <conditionalFormatting sqref="P77">
    <cfRule type="cellIs" dxfId="1389" priority="2839" stopIfTrue="1" operator="equal">
      <formula>"INPUT STARTER IN COLUMN D"</formula>
    </cfRule>
  </conditionalFormatting>
  <conditionalFormatting sqref="P78">
    <cfRule type="cellIs" dxfId="1388" priority="2838" stopIfTrue="1" operator="equal">
      <formula>"INPUT STARTER IN COLUMN D"</formula>
    </cfRule>
  </conditionalFormatting>
  <conditionalFormatting sqref="P79">
    <cfRule type="cellIs" dxfId="1387" priority="2837" stopIfTrue="1" operator="equal">
      <formula>"INPUT STARTER IN COLUMN D"</formula>
    </cfRule>
  </conditionalFormatting>
  <conditionalFormatting sqref="P80">
    <cfRule type="cellIs" dxfId="1386" priority="2836" stopIfTrue="1" operator="equal">
      <formula>"INPUT STARTER IN COLUMN D"</formula>
    </cfRule>
  </conditionalFormatting>
  <conditionalFormatting sqref="P81">
    <cfRule type="cellIs" dxfId="1385" priority="2835" stopIfTrue="1" operator="equal">
      <formula>"INPUT STARTER IN COLUMN D"</formula>
    </cfRule>
  </conditionalFormatting>
  <conditionalFormatting sqref="P82">
    <cfRule type="cellIs" dxfId="1384" priority="2834" stopIfTrue="1" operator="equal">
      <formula>"INPUT STARTER IN COLUMN D"</formula>
    </cfRule>
  </conditionalFormatting>
  <conditionalFormatting sqref="P84">
    <cfRule type="cellIs" dxfId="1383" priority="2833" stopIfTrue="1" operator="equal">
      <formula>"INPUT STARTER IN COLUMN D"</formula>
    </cfRule>
  </conditionalFormatting>
  <conditionalFormatting sqref="P85">
    <cfRule type="cellIs" dxfId="1382" priority="2832" stopIfTrue="1" operator="equal">
      <formula>"INPUT STARTER IN COLUMN D"</formula>
    </cfRule>
  </conditionalFormatting>
  <conditionalFormatting sqref="P86">
    <cfRule type="cellIs" dxfId="1381" priority="2831" stopIfTrue="1" operator="equal">
      <formula>"INPUT STARTER IN COLUMN D"</formula>
    </cfRule>
  </conditionalFormatting>
  <conditionalFormatting sqref="P87">
    <cfRule type="cellIs" dxfId="1380" priority="2830" stopIfTrue="1" operator="equal">
      <formula>"INPUT STARTER IN COLUMN D"</formula>
    </cfRule>
  </conditionalFormatting>
  <conditionalFormatting sqref="P88">
    <cfRule type="cellIs" dxfId="1379" priority="2829" stopIfTrue="1" operator="equal">
      <formula>"INPUT STARTER IN COLUMN D"</formula>
    </cfRule>
  </conditionalFormatting>
  <conditionalFormatting sqref="P89">
    <cfRule type="cellIs" dxfId="1378" priority="2828" stopIfTrue="1" operator="equal">
      <formula>"INPUT STARTER IN COLUMN D"</formula>
    </cfRule>
  </conditionalFormatting>
  <conditionalFormatting sqref="P91">
    <cfRule type="cellIs" dxfId="1377" priority="2827" stopIfTrue="1" operator="equal">
      <formula>"INPUT STARTER IN COLUMN D"</formula>
    </cfRule>
  </conditionalFormatting>
  <conditionalFormatting sqref="P92">
    <cfRule type="cellIs" dxfId="1376" priority="2826" stopIfTrue="1" operator="equal">
      <formula>"INPUT STARTER IN COLUMN D"</formula>
    </cfRule>
  </conditionalFormatting>
  <conditionalFormatting sqref="P93">
    <cfRule type="cellIs" dxfId="1375" priority="2825" stopIfTrue="1" operator="equal">
      <formula>"INPUT STARTER IN COLUMN D"</formula>
    </cfRule>
  </conditionalFormatting>
  <conditionalFormatting sqref="P94">
    <cfRule type="cellIs" dxfId="1374" priority="2824" stopIfTrue="1" operator="equal">
      <formula>"INPUT STARTER IN COLUMN D"</formula>
    </cfRule>
  </conditionalFormatting>
  <conditionalFormatting sqref="P95">
    <cfRule type="cellIs" dxfId="1373" priority="2823" stopIfTrue="1" operator="equal">
      <formula>"INPUT STARTER IN COLUMN D"</formula>
    </cfRule>
  </conditionalFormatting>
  <conditionalFormatting sqref="P96">
    <cfRule type="cellIs" dxfId="1372" priority="2822" stopIfTrue="1" operator="equal">
      <formula>"INPUT STARTER IN COLUMN D"</formula>
    </cfRule>
  </conditionalFormatting>
  <conditionalFormatting sqref="P97">
    <cfRule type="cellIs" dxfId="1371" priority="2821" stopIfTrue="1" operator="equal">
      <formula>"INPUT STARTER IN COLUMN D"</formula>
    </cfRule>
  </conditionalFormatting>
  <conditionalFormatting sqref="P98">
    <cfRule type="cellIs" dxfId="1370" priority="2820" stopIfTrue="1" operator="equal">
      <formula>"INPUT STARTER IN COLUMN D"</formula>
    </cfRule>
  </conditionalFormatting>
  <conditionalFormatting sqref="P99">
    <cfRule type="cellIs" dxfId="1369" priority="2819" stopIfTrue="1" operator="equal">
      <formula>"INPUT STARTER IN COLUMN D"</formula>
    </cfRule>
  </conditionalFormatting>
  <conditionalFormatting sqref="P100">
    <cfRule type="cellIs" dxfId="1368" priority="2818" stopIfTrue="1" operator="equal">
      <formula>"INPUT STARTER IN COLUMN D"</formula>
    </cfRule>
  </conditionalFormatting>
  <conditionalFormatting sqref="P101">
    <cfRule type="cellIs" dxfId="1367" priority="2817" stopIfTrue="1" operator="equal">
      <formula>"INPUT STARTER IN COLUMN D"</formula>
    </cfRule>
  </conditionalFormatting>
  <conditionalFormatting sqref="P102">
    <cfRule type="cellIs" dxfId="1366" priority="2816" stopIfTrue="1" operator="equal">
      <formula>"INPUT STARTER IN COLUMN D"</formula>
    </cfRule>
  </conditionalFormatting>
  <conditionalFormatting sqref="P106">
    <cfRule type="cellIs" dxfId="1365" priority="2815" stopIfTrue="1" operator="equal">
      <formula>"INPUT STARTER IN COLUMN D"</formula>
    </cfRule>
  </conditionalFormatting>
  <conditionalFormatting sqref="P107">
    <cfRule type="cellIs" dxfId="1364" priority="2814" stopIfTrue="1" operator="equal">
      <formula>"INPUT STARTER IN COLUMN D"</formula>
    </cfRule>
  </conditionalFormatting>
  <conditionalFormatting sqref="P108">
    <cfRule type="cellIs" dxfId="1363" priority="2813" stopIfTrue="1" operator="equal">
      <formula>"INPUT STARTER IN COLUMN D"</formula>
    </cfRule>
  </conditionalFormatting>
  <conditionalFormatting sqref="P109">
    <cfRule type="cellIs" dxfId="1362" priority="2812" stopIfTrue="1" operator="equal">
      <formula>"INPUT STARTER IN COLUMN D"</formula>
    </cfRule>
  </conditionalFormatting>
  <conditionalFormatting sqref="P110">
    <cfRule type="cellIs" dxfId="1361" priority="2811" stopIfTrue="1" operator="equal">
      <formula>"INPUT STARTER IN COLUMN D"</formula>
    </cfRule>
  </conditionalFormatting>
  <conditionalFormatting sqref="P111">
    <cfRule type="cellIs" dxfId="1360" priority="2810" stopIfTrue="1" operator="equal">
      <formula>"INPUT STARTER IN COLUMN D"</formula>
    </cfRule>
  </conditionalFormatting>
  <conditionalFormatting sqref="P112">
    <cfRule type="cellIs" dxfId="1359" priority="2809" stopIfTrue="1" operator="equal">
      <formula>"INPUT STARTER IN COLUMN D"</formula>
    </cfRule>
  </conditionalFormatting>
  <conditionalFormatting sqref="P113">
    <cfRule type="cellIs" dxfId="1358" priority="2808" stopIfTrue="1" operator="equal">
      <formula>"INPUT STARTER IN COLUMN D"</formula>
    </cfRule>
  </conditionalFormatting>
  <conditionalFormatting sqref="P114">
    <cfRule type="cellIs" dxfId="1357" priority="2807" stopIfTrue="1" operator="equal">
      <formula>"INPUT STARTER IN COLUMN D"</formula>
    </cfRule>
  </conditionalFormatting>
  <conditionalFormatting sqref="P115">
    <cfRule type="cellIs" dxfId="1356" priority="2806" stopIfTrue="1" operator="equal">
      <formula>"INPUT STARTER IN COLUMN D"</formula>
    </cfRule>
  </conditionalFormatting>
  <conditionalFormatting sqref="P116">
    <cfRule type="cellIs" dxfId="1355" priority="2805" stopIfTrue="1" operator="equal">
      <formula>"INPUT STARTER IN COLUMN D"</formula>
    </cfRule>
  </conditionalFormatting>
  <conditionalFormatting sqref="P117">
    <cfRule type="cellIs" dxfId="1354" priority="2804" stopIfTrue="1" operator="equal">
      <formula>"INPUT STARTER IN COLUMN D"</formula>
    </cfRule>
  </conditionalFormatting>
  <conditionalFormatting sqref="P118">
    <cfRule type="cellIs" dxfId="1353" priority="2803" stopIfTrue="1" operator="equal">
      <formula>"INPUT STARTER IN COLUMN D"</formula>
    </cfRule>
  </conditionalFormatting>
  <conditionalFormatting sqref="P119">
    <cfRule type="cellIs" dxfId="1352" priority="2802" stopIfTrue="1" operator="equal">
      <formula>"INPUT STARTER IN COLUMN D"</formula>
    </cfRule>
  </conditionalFormatting>
  <conditionalFormatting sqref="P120">
    <cfRule type="cellIs" dxfId="1351" priority="2801" stopIfTrue="1" operator="equal">
      <formula>"INPUT STARTER IN COLUMN D"</formula>
    </cfRule>
  </conditionalFormatting>
  <conditionalFormatting sqref="P121">
    <cfRule type="cellIs" dxfId="1350" priority="2800" stopIfTrue="1" operator="equal">
      <formula>"INPUT STARTER IN COLUMN D"</formula>
    </cfRule>
  </conditionalFormatting>
  <conditionalFormatting sqref="P122">
    <cfRule type="cellIs" dxfId="1349" priority="2799" stopIfTrue="1" operator="equal">
      <formula>"INPUT STARTER IN COLUMN D"</formula>
    </cfRule>
  </conditionalFormatting>
  <conditionalFormatting sqref="P123">
    <cfRule type="cellIs" dxfId="1348" priority="2798" stopIfTrue="1" operator="equal">
      <formula>"INPUT STARTER IN COLUMN D"</formula>
    </cfRule>
  </conditionalFormatting>
  <conditionalFormatting sqref="P125">
    <cfRule type="cellIs" dxfId="1347" priority="2797" stopIfTrue="1" operator="equal">
      <formula>"INPUT STARTER IN COLUMN D"</formula>
    </cfRule>
  </conditionalFormatting>
  <conditionalFormatting sqref="P126">
    <cfRule type="cellIs" dxfId="1346" priority="2796" stopIfTrue="1" operator="equal">
      <formula>"INPUT STARTER IN COLUMN D"</formula>
    </cfRule>
  </conditionalFormatting>
  <conditionalFormatting sqref="P127">
    <cfRule type="cellIs" dxfId="1345" priority="2795" stopIfTrue="1" operator="equal">
      <formula>"INPUT STARTER IN COLUMN D"</formula>
    </cfRule>
  </conditionalFormatting>
  <conditionalFormatting sqref="P128">
    <cfRule type="cellIs" dxfId="1344" priority="2794" stopIfTrue="1" operator="equal">
      <formula>"INPUT STARTER IN COLUMN D"</formula>
    </cfRule>
  </conditionalFormatting>
  <conditionalFormatting sqref="P129">
    <cfRule type="cellIs" dxfId="1343" priority="2793" stopIfTrue="1" operator="equal">
      <formula>"INPUT STARTER IN COLUMN D"</formula>
    </cfRule>
  </conditionalFormatting>
  <conditionalFormatting sqref="P130">
    <cfRule type="cellIs" dxfId="1342" priority="2792" stopIfTrue="1" operator="equal">
      <formula>"INPUT STARTER IN COLUMN D"</formula>
    </cfRule>
  </conditionalFormatting>
  <conditionalFormatting sqref="P131">
    <cfRule type="cellIs" dxfId="1341" priority="2791" stopIfTrue="1" operator="equal">
      <formula>"INPUT STARTER IN COLUMN D"</formula>
    </cfRule>
  </conditionalFormatting>
  <conditionalFormatting sqref="P132">
    <cfRule type="cellIs" dxfId="1340" priority="2790" stopIfTrue="1" operator="equal">
      <formula>"INPUT STARTER IN COLUMN D"</formula>
    </cfRule>
  </conditionalFormatting>
  <conditionalFormatting sqref="P133">
    <cfRule type="cellIs" dxfId="1339" priority="2789" stopIfTrue="1" operator="equal">
      <formula>"INPUT STARTER IN COLUMN D"</formula>
    </cfRule>
  </conditionalFormatting>
  <conditionalFormatting sqref="P134">
    <cfRule type="cellIs" dxfId="1338" priority="2788" stopIfTrue="1" operator="equal">
      <formula>"INPUT STARTER IN COLUMN D"</formula>
    </cfRule>
  </conditionalFormatting>
  <conditionalFormatting sqref="P135">
    <cfRule type="cellIs" dxfId="1337" priority="2787" stopIfTrue="1" operator="equal">
      <formula>"INPUT STARTER IN COLUMN D"</formula>
    </cfRule>
  </conditionalFormatting>
  <conditionalFormatting sqref="P136">
    <cfRule type="cellIs" dxfId="1336" priority="2786" stopIfTrue="1" operator="equal">
      <formula>"INPUT STARTER IN COLUMN D"</formula>
    </cfRule>
  </conditionalFormatting>
  <conditionalFormatting sqref="P137">
    <cfRule type="cellIs" dxfId="1335" priority="2785" stopIfTrue="1" operator="equal">
      <formula>"INPUT STARTER IN COLUMN D"</formula>
    </cfRule>
  </conditionalFormatting>
  <conditionalFormatting sqref="P139">
    <cfRule type="cellIs" dxfId="1334" priority="2784" stopIfTrue="1" operator="equal">
      <formula>"INPUT STARTER IN COLUMN D"</formula>
    </cfRule>
  </conditionalFormatting>
  <conditionalFormatting sqref="P140">
    <cfRule type="cellIs" dxfId="1333" priority="2783" stopIfTrue="1" operator="equal">
      <formula>"INPUT STARTER IN COLUMN D"</formula>
    </cfRule>
  </conditionalFormatting>
  <conditionalFormatting sqref="P141">
    <cfRule type="cellIs" dxfId="1332" priority="2782" stopIfTrue="1" operator="equal">
      <formula>"INPUT STARTER IN COLUMN D"</formula>
    </cfRule>
  </conditionalFormatting>
  <conditionalFormatting sqref="P142">
    <cfRule type="cellIs" dxfId="1331" priority="2781" stopIfTrue="1" operator="equal">
      <formula>"INPUT STARTER IN COLUMN D"</formula>
    </cfRule>
  </conditionalFormatting>
  <conditionalFormatting sqref="P143">
    <cfRule type="cellIs" dxfId="1330" priority="2780" stopIfTrue="1" operator="equal">
      <formula>"INPUT STARTER IN COLUMN D"</formula>
    </cfRule>
  </conditionalFormatting>
  <conditionalFormatting sqref="P144">
    <cfRule type="cellIs" dxfId="1329" priority="2779" stopIfTrue="1" operator="equal">
      <formula>"INPUT STARTER IN COLUMN D"</formula>
    </cfRule>
  </conditionalFormatting>
  <conditionalFormatting sqref="P145">
    <cfRule type="cellIs" dxfId="1328" priority="2778" stopIfTrue="1" operator="equal">
      <formula>"INPUT STARTER IN COLUMN D"</formula>
    </cfRule>
  </conditionalFormatting>
  <conditionalFormatting sqref="P146">
    <cfRule type="cellIs" dxfId="1327" priority="2777" stopIfTrue="1" operator="equal">
      <formula>"INPUT STARTER IN COLUMN D"</formula>
    </cfRule>
  </conditionalFormatting>
  <conditionalFormatting sqref="P147">
    <cfRule type="cellIs" dxfId="1326" priority="2776" stopIfTrue="1" operator="equal">
      <formula>"INPUT STARTER IN COLUMN D"</formula>
    </cfRule>
  </conditionalFormatting>
  <conditionalFormatting sqref="P148">
    <cfRule type="cellIs" dxfId="1325" priority="2775" stopIfTrue="1" operator="equal">
      <formula>"INPUT STARTER IN COLUMN D"</formula>
    </cfRule>
  </conditionalFormatting>
  <conditionalFormatting sqref="P149">
    <cfRule type="cellIs" dxfId="1324" priority="2774" stopIfTrue="1" operator="equal">
      <formula>"INPUT STARTER IN COLUMN D"</formula>
    </cfRule>
  </conditionalFormatting>
  <conditionalFormatting sqref="P150">
    <cfRule type="cellIs" dxfId="1323" priority="2773" stopIfTrue="1" operator="equal">
      <formula>"INPUT STARTER IN COLUMN D"</formula>
    </cfRule>
  </conditionalFormatting>
  <conditionalFormatting sqref="P151">
    <cfRule type="cellIs" dxfId="1322" priority="2772" stopIfTrue="1" operator="equal">
      <formula>"INPUT STARTER IN COLUMN D"</formula>
    </cfRule>
  </conditionalFormatting>
  <conditionalFormatting sqref="P152">
    <cfRule type="cellIs" dxfId="1321" priority="2771" stopIfTrue="1" operator="equal">
      <formula>"INPUT STARTER IN COLUMN D"</formula>
    </cfRule>
  </conditionalFormatting>
  <conditionalFormatting sqref="P153">
    <cfRule type="cellIs" dxfId="1320" priority="2770" stopIfTrue="1" operator="equal">
      <formula>"INPUT STARTER IN COLUMN D"</formula>
    </cfRule>
  </conditionalFormatting>
  <conditionalFormatting sqref="P154">
    <cfRule type="cellIs" dxfId="1319" priority="2769" stopIfTrue="1" operator="equal">
      <formula>"INPUT STARTER IN COLUMN D"</formula>
    </cfRule>
  </conditionalFormatting>
  <conditionalFormatting sqref="P155">
    <cfRule type="cellIs" dxfId="1318" priority="2768" stopIfTrue="1" operator="equal">
      <formula>"INPUT STARTER IN COLUMN D"</formula>
    </cfRule>
  </conditionalFormatting>
  <conditionalFormatting sqref="P157">
    <cfRule type="cellIs" dxfId="1317" priority="2767" stopIfTrue="1" operator="equal">
      <formula>"INPUT STARTER IN COLUMN D"</formula>
    </cfRule>
  </conditionalFormatting>
  <conditionalFormatting sqref="P158">
    <cfRule type="cellIs" dxfId="1316" priority="2766" stopIfTrue="1" operator="equal">
      <formula>"INPUT STARTER IN COLUMN D"</formula>
    </cfRule>
  </conditionalFormatting>
  <conditionalFormatting sqref="P159">
    <cfRule type="cellIs" dxfId="1315" priority="2765" stopIfTrue="1" operator="equal">
      <formula>"INPUT STARTER IN COLUMN D"</formula>
    </cfRule>
  </conditionalFormatting>
  <conditionalFormatting sqref="P160">
    <cfRule type="cellIs" dxfId="1314" priority="2764" stopIfTrue="1" operator="equal">
      <formula>"INPUT STARTER IN COLUMN D"</formula>
    </cfRule>
  </conditionalFormatting>
  <conditionalFormatting sqref="P161">
    <cfRule type="cellIs" dxfId="1313" priority="2763" stopIfTrue="1" operator="equal">
      <formula>"INPUT STARTER IN COLUMN D"</formula>
    </cfRule>
  </conditionalFormatting>
  <conditionalFormatting sqref="P162">
    <cfRule type="cellIs" dxfId="1312" priority="2762" stopIfTrue="1" operator="equal">
      <formula>"INPUT STARTER IN COLUMN D"</formula>
    </cfRule>
  </conditionalFormatting>
  <conditionalFormatting sqref="P163">
    <cfRule type="cellIs" dxfId="1311" priority="2761" stopIfTrue="1" operator="equal">
      <formula>"INPUT STARTER IN COLUMN D"</formula>
    </cfRule>
  </conditionalFormatting>
  <conditionalFormatting sqref="P165">
    <cfRule type="cellIs" dxfId="1310" priority="2760" stopIfTrue="1" operator="equal">
      <formula>"INPUT STARTER IN COLUMN D"</formula>
    </cfRule>
  </conditionalFormatting>
  <conditionalFormatting sqref="P166">
    <cfRule type="cellIs" dxfId="1309" priority="2759" stopIfTrue="1" operator="equal">
      <formula>"INPUT STARTER IN COLUMN D"</formula>
    </cfRule>
  </conditionalFormatting>
  <conditionalFormatting sqref="P167">
    <cfRule type="cellIs" dxfId="1308" priority="2758" stopIfTrue="1" operator="equal">
      <formula>"INPUT STARTER IN COLUMN D"</formula>
    </cfRule>
  </conditionalFormatting>
  <conditionalFormatting sqref="P168">
    <cfRule type="cellIs" dxfId="1307" priority="2757" stopIfTrue="1" operator="equal">
      <formula>"INPUT STARTER IN COLUMN D"</formula>
    </cfRule>
  </conditionalFormatting>
  <conditionalFormatting sqref="P169">
    <cfRule type="cellIs" dxfId="1306" priority="2756" stopIfTrue="1" operator="equal">
      <formula>"INPUT STARTER IN COLUMN D"</formula>
    </cfRule>
  </conditionalFormatting>
  <conditionalFormatting sqref="P170">
    <cfRule type="cellIs" dxfId="1305" priority="2755" stopIfTrue="1" operator="equal">
      <formula>"INPUT STARTER IN COLUMN D"</formula>
    </cfRule>
  </conditionalFormatting>
  <conditionalFormatting sqref="P171">
    <cfRule type="cellIs" dxfId="1304" priority="2754" stopIfTrue="1" operator="equal">
      <formula>"INPUT STARTER IN COLUMN D"</formula>
    </cfRule>
  </conditionalFormatting>
  <conditionalFormatting sqref="P172">
    <cfRule type="cellIs" dxfId="1303" priority="2753" stopIfTrue="1" operator="equal">
      <formula>"INPUT STARTER IN COLUMN D"</formula>
    </cfRule>
  </conditionalFormatting>
  <conditionalFormatting sqref="P173">
    <cfRule type="cellIs" dxfId="1302" priority="2752" stopIfTrue="1" operator="equal">
      <formula>"INPUT STARTER IN COLUMN D"</formula>
    </cfRule>
  </conditionalFormatting>
  <conditionalFormatting sqref="P174">
    <cfRule type="cellIs" dxfId="1301" priority="2751" stopIfTrue="1" operator="equal">
      <formula>"INPUT STARTER IN COLUMN D"</formula>
    </cfRule>
  </conditionalFormatting>
  <conditionalFormatting sqref="P176">
    <cfRule type="cellIs" dxfId="1300" priority="2750" stopIfTrue="1" operator="equal">
      <formula>"INPUT STARTER IN COLUMN D"</formula>
    </cfRule>
  </conditionalFormatting>
  <conditionalFormatting sqref="P177">
    <cfRule type="cellIs" dxfId="1299" priority="2749" stopIfTrue="1" operator="equal">
      <formula>"INPUT STARTER IN COLUMN D"</formula>
    </cfRule>
  </conditionalFormatting>
  <conditionalFormatting sqref="P178">
    <cfRule type="cellIs" dxfId="1298" priority="2748" stopIfTrue="1" operator="equal">
      <formula>"INPUT STARTER IN COLUMN D"</formula>
    </cfRule>
  </conditionalFormatting>
  <conditionalFormatting sqref="P179">
    <cfRule type="cellIs" dxfId="1297" priority="2747" stopIfTrue="1" operator="equal">
      <formula>"INPUT STARTER IN COLUMN D"</formula>
    </cfRule>
  </conditionalFormatting>
  <conditionalFormatting sqref="P180">
    <cfRule type="cellIs" dxfId="1296" priority="2746" stopIfTrue="1" operator="equal">
      <formula>"INPUT STARTER IN COLUMN D"</formula>
    </cfRule>
  </conditionalFormatting>
  <conditionalFormatting sqref="P181">
    <cfRule type="cellIs" dxfId="1295" priority="2745" stopIfTrue="1" operator="equal">
      <formula>"INPUT STARTER IN COLUMN D"</formula>
    </cfRule>
  </conditionalFormatting>
  <conditionalFormatting sqref="P182">
    <cfRule type="cellIs" dxfId="1294" priority="2744" stopIfTrue="1" operator="equal">
      <formula>"INPUT STARTER IN COLUMN D"</formula>
    </cfRule>
  </conditionalFormatting>
  <conditionalFormatting sqref="P183">
    <cfRule type="cellIs" dxfId="1293" priority="2743" stopIfTrue="1" operator="equal">
      <formula>"INPUT STARTER IN COLUMN D"</formula>
    </cfRule>
  </conditionalFormatting>
  <conditionalFormatting sqref="P184">
    <cfRule type="cellIs" dxfId="1292" priority="2742" stopIfTrue="1" operator="equal">
      <formula>"INPUT STARTER IN COLUMN D"</formula>
    </cfRule>
  </conditionalFormatting>
  <conditionalFormatting sqref="P185">
    <cfRule type="cellIs" dxfId="1291" priority="2741" stopIfTrue="1" operator="equal">
      <formula>"INPUT STARTER IN COLUMN D"</formula>
    </cfRule>
  </conditionalFormatting>
  <conditionalFormatting sqref="AK3:AK22">
    <cfRule type="cellIs" dxfId="1290" priority="2740" stopIfTrue="1" operator="equal">
      <formula>"must average at least 5 innings per start"</formula>
    </cfRule>
  </conditionalFormatting>
  <conditionalFormatting sqref="AK23">
    <cfRule type="cellIs" dxfId="1289" priority="2739" stopIfTrue="1" operator="equal">
      <formula>"must have 162 starts"</formula>
    </cfRule>
  </conditionalFormatting>
  <conditionalFormatting sqref="AK3:AK22">
    <cfRule type="cellIs" dxfId="1288" priority="2738" stopIfTrue="1" operator="equal">
      <formula>"must average at least 5 innings per start"</formula>
    </cfRule>
  </conditionalFormatting>
  <conditionalFormatting sqref="AK23">
    <cfRule type="cellIs" dxfId="1287" priority="2737" stopIfTrue="1" operator="equal">
      <formula>"must have 162 starts"</formula>
    </cfRule>
  </conditionalFormatting>
  <conditionalFormatting sqref="AK3:AK22">
    <cfRule type="cellIs" dxfId="1286" priority="2736" stopIfTrue="1" operator="equal">
      <formula>"must average at least 5 innings per start"</formula>
    </cfRule>
  </conditionalFormatting>
  <conditionalFormatting sqref="AK23">
    <cfRule type="cellIs" dxfId="1285" priority="2735" stopIfTrue="1" operator="equal">
      <formula>"must have 162 starts"</formula>
    </cfRule>
  </conditionalFormatting>
  <conditionalFormatting sqref="AK3:AK22">
    <cfRule type="cellIs" dxfId="1284" priority="2734" stopIfTrue="1" operator="equal">
      <formula>"must average at least 5 innings per start"</formula>
    </cfRule>
  </conditionalFormatting>
  <conditionalFormatting sqref="AK23">
    <cfRule type="cellIs" dxfId="1283" priority="2733" stopIfTrue="1" operator="equal">
      <formula>"must have 162 starts"</formula>
    </cfRule>
  </conditionalFormatting>
  <conditionalFormatting sqref="AK3:AK22">
    <cfRule type="cellIs" dxfId="1282" priority="2732" stopIfTrue="1" operator="equal">
      <formula>"must average at least 5 innings per start"</formula>
    </cfRule>
  </conditionalFormatting>
  <conditionalFormatting sqref="AK23">
    <cfRule type="cellIs" dxfId="1281" priority="2731" stopIfTrue="1" operator="equal">
      <formula>"must have 162 starts"</formula>
    </cfRule>
  </conditionalFormatting>
  <conditionalFormatting sqref="AK3:AK22">
    <cfRule type="cellIs" dxfId="1280" priority="2730" stopIfTrue="1" operator="equal">
      <formula>"must average at least 5 innings per start"</formula>
    </cfRule>
  </conditionalFormatting>
  <conditionalFormatting sqref="AK23">
    <cfRule type="cellIs" dxfId="1279" priority="2729" stopIfTrue="1" operator="equal">
      <formula>"must have 162 starts"</formula>
    </cfRule>
  </conditionalFormatting>
  <conditionalFormatting sqref="AK3:AK22">
    <cfRule type="cellIs" dxfId="1278" priority="2728" stopIfTrue="1" operator="equal">
      <formula>"must average at least 5 innings per start"</formula>
    </cfRule>
  </conditionalFormatting>
  <conditionalFormatting sqref="AK23">
    <cfRule type="cellIs" dxfId="1277" priority="2727" stopIfTrue="1" operator="equal">
      <formula>"must have 162 starts"</formula>
    </cfRule>
  </conditionalFormatting>
  <conditionalFormatting sqref="AH3:AH22">
    <cfRule type="cellIs" dxfId="1276" priority="2726" stopIfTrue="1" operator="equal">
      <formula>"must average at least 5 innings per start"</formula>
    </cfRule>
  </conditionalFormatting>
  <conditionalFormatting sqref="AH23">
    <cfRule type="cellIs" dxfId="1275" priority="2725" stopIfTrue="1" operator="equal">
      <formula>"must have 162 starts"</formula>
    </cfRule>
  </conditionalFormatting>
  <conditionalFormatting sqref="AG3:AG22">
    <cfRule type="cellIs" dxfId="1274" priority="2724" stopIfTrue="1" operator="equal">
      <formula>"must average at least 5 innings per start"</formula>
    </cfRule>
  </conditionalFormatting>
  <conditionalFormatting sqref="AG23">
    <cfRule type="cellIs" dxfId="1273" priority="2723" stopIfTrue="1" operator="equal">
      <formula>"must have 162 starts"</formula>
    </cfRule>
  </conditionalFormatting>
  <conditionalFormatting sqref="AK3:AK22">
    <cfRule type="cellIs" dxfId="1272" priority="2722" stopIfTrue="1" operator="equal">
      <formula>"must average at least 5 innings per start"</formula>
    </cfRule>
  </conditionalFormatting>
  <conditionalFormatting sqref="AK23">
    <cfRule type="cellIs" dxfId="1271" priority="2721" stopIfTrue="1" operator="equal">
      <formula>"must have 162 starts"</formula>
    </cfRule>
  </conditionalFormatting>
  <conditionalFormatting sqref="AK3:AK22">
    <cfRule type="cellIs" dxfId="1270" priority="2720" stopIfTrue="1" operator="equal">
      <formula>"must average at least 5 innings per start"</formula>
    </cfRule>
  </conditionalFormatting>
  <conditionalFormatting sqref="AK23">
    <cfRule type="cellIs" dxfId="1269" priority="2719" stopIfTrue="1" operator="equal">
      <formula>"must have 162 starts"</formula>
    </cfRule>
  </conditionalFormatting>
  <conditionalFormatting sqref="AK3:AK22">
    <cfRule type="cellIs" dxfId="1268" priority="2718" stopIfTrue="1" operator="equal">
      <formula>"must average at least 5 innings per start"</formula>
    </cfRule>
  </conditionalFormatting>
  <conditionalFormatting sqref="AK23">
    <cfRule type="cellIs" dxfId="1267" priority="2717" stopIfTrue="1" operator="equal">
      <formula>"must have 162 starts"</formula>
    </cfRule>
  </conditionalFormatting>
  <conditionalFormatting sqref="AK3:AK22">
    <cfRule type="cellIs" dxfId="1266" priority="2716" stopIfTrue="1" operator="equal">
      <formula>"must average at least 5 innings per start"</formula>
    </cfRule>
  </conditionalFormatting>
  <conditionalFormatting sqref="AK23">
    <cfRule type="cellIs" dxfId="1265" priority="2715" stopIfTrue="1" operator="equal">
      <formula>"must have 162 starts"</formula>
    </cfRule>
  </conditionalFormatting>
  <conditionalFormatting sqref="AK3:AK22">
    <cfRule type="cellIs" dxfId="1264" priority="2714" stopIfTrue="1" operator="equal">
      <formula>"must average at least 5 innings per start"</formula>
    </cfRule>
  </conditionalFormatting>
  <conditionalFormatting sqref="AK23">
    <cfRule type="cellIs" dxfId="1263" priority="2713" stopIfTrue="1" operator="equal">
      <formula>"must have 162 starts"</formula>
    </cfRule>
  </conditionalFormatting>
  <conditionalFormatting sqref="AK3:AK22">
    <cfRule type="cellIs" dxfId="1262" priority="2712" stopIfTrue="1" operator="equal">
      <formula>"must average at least 5 innings per start"</formula>
    </cfRule>
  </conditionalFormatting>
  <conditionalFormatting sqref="AK23">
    <cfRule type="cellIs" dxfId="1261" priority="2711" stopIfTrue="1" operator="equal">
      <formula>"must have 162 starts"</formula>
    </cfRule>
  </conditionalFormatting>
  <conditionalFormatting sqref="AK3:AK22">
    <cfRule type="cellIs" dxfId="1260" priority="2710" stopIfTrue="1" operator="equal">
      <formula>"must average at least 5 innings per start"</formula>
    </cfRule>
  </conditionalFormatting>
  <conditionalFormatting sqref="AK23">
    <cfRule type="cellIs" dxfId="1259" priority="2709" stopIfTrue="1" operator="equal">
      <formula>"must have 162 starts"</formula>
    </cfRule>
  </conditionalFormatting>
  <conditionalFormatting sqref="AK3:AK22">
    <cfRule type="cellIs" dxfId="1258" priority="2708" stopIfTrue="1" operator="equal">
      <formula>"must average at least 5 innings per start"</formula>
    </cfRule>
  </conditionalFormatting>
  <conditionalFormatting sqref="AK23">
    <cfRule type="cellIs" dxfId="1257" priority="2707" stopIfTrue="1" operator="equal">
      <formula>"must have 162 starts"</formula>
    </cfRule>
  </conditionalFormatting>
  <conditionalFormatting sqref="AG3:AG22">
    <cfRule type="cellIs" dxfId="1256" priority="2706" stopIfTrue="1" operator="equal">
      <formula>"must average at least 5 innings per start"</formula>
    </cfRule>
  </conditionalFormatting>
  <conditionalFormatting sqref="AG23">
    <cfRule type="cellIs" dxfId="1255" priority="2705" stopIfTrue="1" operator="equal">
      <formula>"must have 162 starts"</formula>
    </cfRule>
  </conditionalFormatting>
  <conditionalFormatting sqref="AK3:AK22">
    <cfRule type="cellIs" dxfId="1254" priority="2704" stopIfTrue="1" operator="equal">
      <formula>"must average at least 5 innings per start"</formula>
    </cfRule>
  </conditionalFormatting>
  <conditionalFormatting sqref="AK23">
    <cfRule type="cellIs" dxfId="1253" priority="2703" stopIfTrue="1" operator="equal">
      <formula>"must have 162 starts"</formula>
    </cfRule>
  </conditionalFormatting>
  <conditionalFormatting sqref="AK3:AK22">
    <cfRule type="cellIs" dxfId="1252" priority="2702" stopIfTrue="1" operator="equal">
      <formula>"must average at least 5 innings per start"</formula>
    </cfRule>
  </conditionalFormatting>
  <conditionalFormatting sqref="AK23">
    <cfRule type="cellIs" dxfId="1251" priority="2701" stopIfTrue="1" operator="equal">
      <formula>"must have 162 starts"</formula>
    </cfRule>
  </conditionalFormatting>
  <conditionalFormatting sqref="AK3:AK22">
    <cfRule type="cellIs" dxfId="1250" priority="2700" stopIfTrue="1" operator="equal">
      <formula>"must average at least 5 innings per start"</formula>
    </cfRule>
  </conditionalFormatting>
  <conditionalFormatting sqref="AK23">
    <cfRule type="cellIs" dxfId="1249" priority="2699" stopIfTrue="1" operator="equal">
      <formula>"must have 162 starts"</formula>
    </cfRule>
  </conditionalFormatting>
  <conditionalFormatting sqref="AK3:AK22">
    <cfRule type="cellIs" dxfId="1248" priority="2698" stopIfTrue="1" operator="equal">
      <formula>"must average at least 5 innings per start"</formula>
    </cfRule>
  </conditionalFormatting>
  <conditionalFormatting sqref="AK23">
    <cfRule type="cellIs" dxfId="1247" priority="2697" stopIfTrue="1" operator="equal">
      <formula>"must have 162 starts"</formula>
    </cfRule>
  </conditionalFormatting>
  <conditionalFormatting sqref="AK3:AK22">
    <cfRule type="cellIs" dxfId="1246" priority="2696" stopIfTrue="1" operator="equal">
      <formula>"must average at least 5 innings per start"</formula>
    </cfRule>
  </conditionalFormatting>
  <conditionalFormatting sqref="AK23">
    <cfRule type="cellIs" dxfId="1245" priority="2695" stopIfTrue="1" operator="equal">
      <formula>"must have 162 starts"</formula>
    </cfRule>
  </conditionalFormatting>
  <conditionalFormatting sqref="AK3:AK22">
    <cfRule type="cellIs" dxfId="1244" priority="2694" stopIfTrue="1" operator="equal">
      <formula>"must average at least 5 innings per start"</formula>
    </cfRule>
  </conditionalFormatting>
  <conditionalFormatting sqref="AK23">
    <cfRule type="cellIs" dxfId="1243" priority="2693" stopIfTrue="1" operator="equal">
      <formula>"must have 162 starts"</formula>
    </cfRule>
  </conditionalFormatting>
  <conditionalFormatting sqref="AK3:AK22">
    <cfRule type="cellIs" dxfId="1242" priority="2692" stopIfTrue="1" operator="equal">
      <formula>"must average at least 5 innings per start"</formula>
    </cfRule>
  </conditionalFormatting>
  <conditionalFormatting sqref="AK23">
    <cfRule type="cellIs" dxfId="1241" priority="2691" stopIfTrue="1" operator="equal">
      <formula>"must have 162 starts"</formula>
    </cfRule>
  </conditionalFormatting>
  <conditionalFormatting sqref="AG3:AG22">
    <cfRule type="cellIs" dxfId="1240" priority="2690" stopIfTrue="1" operator="equal">
      <formula>"must average at least 5 innings per start"</formula>
    </cfRule>
  </conditionalFormatting>
  <conditionalFormatting sqref="AG23">
    <cfRule type="cellIs" dxfId="1239" priority="2689" stopIfTrue="1" operator="equal">
      <formula>"must have 162 starts"</formula>
    </cfRule>
  </conditionalFormatting>
  <conditionalFormatting sqref="AK3:AK22">
    <cfRule type="cellIs" dxfId="1238" priority="2688" stopIfTrue="1" operator="equal">
      <formula>"must average at least 5 innings per start"</formula>
    </cfRule>
  </conditionalFormatting>
  <conditionalFormatting sqref="AK23">
    <cfRule type="cellIs" dxfId="1237" priority="2687" stopIfTrue="1" operator="equal">
      <formula>"must have 162 starts"</formula>
    </cfRule>
  </conditionalFormatting>
  <conditionalFormatting sqref="AK3:AK22">
    <cfRule type="cellIs" dxfId="1236" priority="2686" stopIfTrue="1" operator="equal">
      <formula>"must average at least 5 innings per start"</formula>
    </cfRule>
  </conditionalFormatting>
  <conditionalFormatting sqref="AK23">
    <cfRule type="cellIs" dxfId="1235" priority="2685" stopIfTrue="1" operator="equal">
      <formula>"must have 162 starts"</formula>
    </cfRule>
  </conditionalFormatting>
  <conditionalFormatting sqref="AK3:AK22">
    <cfRule type="cellIs" dxfId="1234" priority="2684" stopIfTrue="1" operator="equal">
      <formula>"must average at least 5 innings per start"</formula>
    </cfRule>
  </conditionalFormatting>
  <conditionalFormatting sqref="AK23">
    <cfRule type="cellIs" dxfId="1233" priority="2683" stopIfTrue="1" operator="equal">
      <formula>"must have 162 starts"</formula>
    </cfRule>
  </conditionalFormatting>
  <conditionalFormatting sqref="AK3:AK22">
    <cfRule type="cellIs" dxfId="1232" priority="2682" stopIfTrue="1" operator="equal">
      <formula>"must average at least 5 innings per start"</formula>
    </cfRule>
  </conditionalFormatting>
  <conditionalFormatting sqref="AK23">
    <cfRule type="cellIs" dxfId="1231" priority="2681" stopIfTrue="1" operator="equal">
      <formula>"must have 162 starts"</formula>
    </cfRule>
  </conditionalFormatting>
  <conditionalFormatting sqref="AK3:AK22">
    <cfRule type="cellIs" dxfId="1230" priority="2680" stopIfTrue="1" operator="equal">
      <formula>"must average at least 5 innings per start"</formula>
    </cfRule>
  </conditionalFormatting>
  <conditionalFormatting sqref="AK23">
    <cfRule type="cellIs" dxfId="1229" priority="2679" stopIfTrue="1" operator="equal">
      <formula>"must have 162 starts"</formula>
    </cfRule>
  </conditionalFormatting>
  <conditionalFormatting sqref="AK3:AK22">
    <cfRule type="cellIs" dxfId="1228" priority="2678" stopIfTrue="1" operator="equal">
      <formula>"must average at least 5 innings per start"</formula>
    </cfRule>
  </conditionalFormatting>
  <conditionalFormatting sqref="AK23">
    <cfRule type="cellIs" dxfId="1227" priority="2677" stopIfTrue="1" operator="equal">
      <formula>"must have 162 starts"</formula>
    </cfRule>
  </conditionalFormatting>
  <conditionalFormatting sqref="AG3:AG22">
    <cfRule type="cellIs" dxfId="1226" priority="2676" stopIfTrue="1" operator="equal">
      <formula>"must average at least 5 innings per start"</formula>
    </cfRule>
  </conditionalFormatting>
  <conditionalFormatting sqref="AG23">
    <cfRule type="cellIs" dxfId="1225" priority="2675" stopIfTrue="1" operator="equal">
      <formula>"must have 162 starts"</formula>
    </cfRule>
  </conditionalFormatting>
  <conditionalFormatting sqref="AK3:AK22">
    <cfRule type="cellIs" dxfId="1224" priority="2674" stopIfTrue="1" operator="equal">
      <formula>"must average at least 5 innings per start"</formula>
    </cfRule>
  </conditionalFormatting>
  <conditionalFormatting sqref="AK23">
    <cfRule type="cellIs" dxfId="1223" priority="2673" stopIfTrue="1" operator="equal">
      <formula>"must have 162 starts"</formula>
    </cfRule>
  </conditionalFormatting>
  <conditionalFormatting sqref="AK3:AK22">
    <cfRule type="cellIs" dxfId="1222" priority="2672" stopIfTrue="1" operator="equal">
      <formula>"must average at least 5 innings per start"</formula>
    </cfRule>
  </conditionalFormatting>
  <conditionalFormatting sqref="AK23">
    <cfRule type="cellIs" dxfId="1221" priority="2671" stopIfTrue="1" operator="equal">
      <formula>"must have 162 starts"</formula>
    </cfRule>
  </conditionalFormatting>
  <conditionalFormatting sqref="AK3:AK22">
    <cfRule type="cellIs" dxfId="1220" priority="2670" stopIfTrue="1" operator="equal">
      <formula>"must average at least 5 innings per start"</formula>
    </cfRule>
  </conditionalFormatting>
  <conditionalFormatting sqref="AK23">
    <cfRule type="cellIs" dxfId="1219" priority="2669" stopIfTrue="1" operator="equal">
      <formula>"must have 162 starts"</formula>
    </cfRule>
  </conditionalFormatting>
  <conditionalFormatting sqref="AK3:AK22">
    <cfRule type="cellIs" dxfId="1218" priority="2668" stopIfTrue="1" operator="equal">
      <formula>"must average at least 5 innings per start"</formula>
    </cfRule>
  </conditionalFormatting>
  <conditionalFormatting sqref="AK23">
    <cfRule type="cellIs" dxfId="1217" priority="2667" stopIfTrue="1" operator="equal">
      <formula>"must have 162 starts"</formula>
    </cfRule>
  </conditionalFormatting>
  <conditionalFormatting sqref="AK3:AK22">
    <cfRule type="cellIs" dxfId="1216" priority="2666" stopIfTrue="1" operator="equal">
      <formula>"must average at least 5 innings per start"</formula>
    </cfRule>
  </conditionalFormatting>
  <conditionalFormatting sqref="AK23">
    <cfRule type="cellIs" dxfId="1215" priority="2665" stopIfTrue="1" operator="equal">
      <formula>"must have 162 starts"</formula>
    </cfRule>
  </conditionalFormatting>
  <conditionalFormatting sqref="AG3:AG22">
    <cfRule type="cellIs" dxfId="1214" priority="2664" stopIfTrue="1" operator="equal">
      <formula>"must average at least 5 innings per start"</formula>
    </cfRule>
  </conditionalFormatting>
  <conditionalFormatting sqref="AG23">
    <cfRule type="cellIs" dxfId="1213" priority="2663" stopIfTrue="1" operator="equal">
      <formula>"must have 162 starts"</formula>
    </cfRule>
  </conditionalFormatting>
  <conditionalFormatting sqref="AK3:AK22">
    <cfRule type="cellIs" dxfId="1212" priority="2662" stopIfTrue="1" operator="equal">
      <formula>"must average at least 5 innings per start"</formula>
    </cfRule>
  </conditionalFormatting>
  <conditionalFormatting sqref="AK23">
    <cfRule type="cellIs" dxfId="1211" priority="2661" stopIfTrue="1" operator="equal">
      <formula>"must have 162 starts"</formula>
    </cfRule>
  </conditionalFormatting>
  <conditionalFormatting sqref="AK3:AK22">
    <cfRule type="cellIs" dxfId="1210" priority="2660" stopIfTrue="1" operator="equal">
      <formula>"must average at least 5 innings per start"</formula>
    </cfRule>
  </conditionalFormatting>
  <conditionalFormatting sqref="AK23">
    <cfRule type="cellIs" dxfId="1209" priority="2659" stopIfTrue="1" operator="equal">
      <formula>"must have 162 starts"</formula>
    </cfRule>
  </conditionalFormatting>
  <conditionalFormatting sqref="AK3:AK22">
    <cfRule type="cellIs" dxfId="1208" priority="2658" stopIfTrue="1" operator="equal">
      <formula>"must average at least 5 innings per start"</formula>
    </cfRule>
  </conditionalFormatting>
  <conditionalFormatting sqref="AK23">
    <cfRule type="cellIs" dxfId="1207" priority="2657" stopIfTrue="1" operator="equal">
      <formula>"must have 162 starts"</formula>
    </cfRule>
  </conditionalFormatting>
  <conditionalFormatting sqref="AK3:AK22">
    <cfRule type="cellIs" dxfId="1206" priority="2656" stopIfTrue="1" operator="equal">
      <formula>"must average at least 5 innings per start"</formula>
    </cfRule>
  </conditionalFormatting>
  <conditionalFormatting sqref="AK23">
    <cfRule type="cellIs" dxfId="1205" priority="2655" stopIfTrue="1" operator="equal">
      <formula>"must have 162 starts"</formula>
    </cfRule>
  </conditionalFormatting>
  <conditionalFormatting sqref="AG3:AG22">
    <cfRule type="cellIs" dxfId="1204" priority="2654" stopIfTrue="1" operator="equal">
      <formula>"must average at least 5 innings per start"</formula>
    </cfRule>
  </conditionalFormatting>
  <conditionalFormatting sqref="AG23">
    <cfRule type="cellIs" dxfId="1203" priority="2653" stopIfTrue="1" operator="equal">
      <formula>"must have 162 starts"</formula>
    </cfRule>
  </conditionalFormatting>
  <conditionalFormatting sqref="AK3:AK22">
    <cfRule type="cellIs" dxfId="1202" priority="2652" stopIfTrue="1" operator="equal">
      <formula>"must average at least 5 innings per start"</formula>
    </cfRule>
  </conditionalFormatting>
  <conditionalFormatting sqref="AK23">
    <cfRule type="cellIs" dxfId="1201" priority="2651" stopIfTrue="1" operator="equal">
      <formula>"must have 162 starts"</formula>
    </cfRule>
  </conditionalFormatting>
  <conditionalFormatting sqref="AK3:AK22">
    <cfRule type="cellIs" dxfId="1200" priority="2650" stopIfTrue="1" operator="equal">
      <formula>"must average at least 5 innings per start"</formula>
    </cfRule>
  </conditionalFormatting>
  <conditionalFormatting sqref="AK23">
    <cfRule type="cellIs" dxfId="1199" priority="2649" stopIfTrue="1" operator="equal">
      <formula>"must have 162 starts"</formula>
    </cfRule>
  </conditionalFormatting>
  <conditionalFormatting sqref="AK3:AK22">
    <cfRule type="cellIs" dxfId="1198" priority="2648" stopIfTrue="1" operator="equal">
      <formula>"must average at least 5 innings per start"</formula>
    </cfRule>
  </conditionalFormatting>
  <conditionalFormatting sqref="AK23">
    <cfRule type="cellIs" dxfId="1197" priority="2647" stopIfTrue="1" operator="equal">
      <formula>"must have 162 starts"</formula>
    </cfRule>
  </conditionalFormatting>
  <conditionalFormatting sqref="AG3:AG22">
    <cfRule type="cellIs" dxfId="1196" priority="2646" stopIfTrue="1" operator="equal">
      <formula>"must average at least 5 innings per start"</formula>
    </cfRule>
  </conditionalFormatting>
  <conditionalFormatting sqref="AG23">
    <cfRule type="cellIs" dxfId="1195" priority="2645" stopIfTrue="1" operator="equal">
      <formula>"must have 162 starts"</formula>
    </cfRule>
  </conditionalFormatting>
  <conditionalFormatting sqref="AK3:AK22">
    <cfRule type="cellIs" dxfId="1194" priority="2644" stopIfTrue="1" operator="equal">
      <formula>"must average at least 5 innings per start"</formula>
    </cfRule>
  </conditionalFormatting>
  <conditionalFormatting sqref="AK23">
    <cfRule type="cellIs" dxfId="1193" priority="2643" stopIfTrue="1" operator="equal">
      <formula>"must have 162 starts"</formula>
    </cfRule>
  </conditionalFormatting>
  <conditionalFormatting sqref="AG3:AG22">
    <cfRule type="cellIs" dxfId="1192" priority="2642" stopIfTrue="1" operator="equal">
      <formula>"must average at least 5 innings per start"</formula>
    </cfRule>
  </conditionalFormatting>
  <conditionalFormatting sqref="AG23">
    <cfRule type="cellIs" dxfId="1191" priority="2641" stopIfTrue="1" operator="equal">
      <formula>"must have 162 starts"</formula>
    </cfRule>
  </conditionalFormatting>
  <conditionalFormatting sqref="Q2">
    <cfRule type="cellIs" dxfId="1190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15718" divId="ROTcheck_15718" sourceType="sheet" destinationFile="C:\1kading\schedule\skeddye.html"/>
    <webPublishItem id="23550" divId="ROTcheck_23550" sourceType="range" sourceRef="A1:O193" destinationFile="C:\1kading\schedule\skeddye.html"/>
    <webPublishItem id="19420" divId="ROTcheck_19420" sourceType="range" sourceRef="A156:O193" destinationFile="C:\1kading\schedule\skeddye.html"/>
  </webPublishItems>
</worksheet>
</file>

<file path=xl/worksheets/sheet27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2" customWidth="1"/>
    <col min="2" max="2" width="3.85546875" style="2" customWidth="1"/>
    <col min="3" max="3" width="5.85546875" style="2" customWidth="1"/>
    <col min="4" max="4" width="25.57031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22.710937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5703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47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 t="s">
        <v>32</v>
      </c>
      <c r="C3" s="33" t="s">
        <v>41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1863</v>
      </c>
      <c r="T3" s="46" t="str">
        <f>IF(ISERROR((VLOOKUP(S3,Pitchers!$B$1:H$800,4,FALSE))),"",(VLOOKUP(S3,Pitchers!$B$1:H$800,4,FALSE)))</f>
        <v>NYM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10</v>
      </c>
      <c r="X3" s="47">
        <f>IF(ISERROR((VLOOKUP(S3,Pitchers!B$2:AA$795,11,FALSE))),"",(VLOOKUP(S3,Pitchers!B$2:AA$795,11,FALSE)))</f>
        <v>150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XY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ROS</v>
      </c>
    </row>
    <row r="4" spans="1:36" ht="12.75" customHeight="1">
      <c r="A4" s="6">
        <v>4.0199999999999996</v>
      </c>
      <c r="B4" s="33" t="s">
        <v>32</v>
      </c>
      <c r="C4" s="33" t="s">
        <v>41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626</v>
      </c>
      <c r="T4" s="46" t="str">
        <f>IF(ISERROR((VLOOKUP(S4,Pitchers!$B$1:H$800,4,FALSE))),"",(VLOOKUP(S4,Pitchers!$B$1:H$800,4,FALSE)))</f>
        <v>SDP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9</v>
      </c>
      <c r="X4" s="47">
        <f>IF(ISERROR((VLOOKUP(S4,Pitchers!B$2:AA$795,11,FALSE))),"",(VLOOKUP(S4,Pitchers!B$2:AA$795,11,FALSE)))</f>
        <v>203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X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>L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ROS</v>
      </c>
    </row>
    <row r="5" spans="1:36" ht="12.75" customHeight="1">
      <c r="A5" s="6">
        <v>4.03</v>
      </c>
      <c r="B5" s="33" t="s">
        <v>32</v>
      </c>
      <c r="C5" s="33" t="s">
        <v>41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538</v>
      </c>
      <c r="T5" s="46" t="str">
        <f>IF(ISERROR((VLOOKUP(S5,Pitchers!$B$1:H$800,4,FALSE))),"",(VLOOKUP(S5,Pitchers!$B$1:H$800,4,FALSE)))</f>
        <v>HOU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6</v>
      </c>
      <c r="X5" s="47">
        <f>IF(ISERROR((VLOOKUP(S5,Pitchers!B$2:AA$795,11,FALSE))),"",(VLOOKUP(S5,Pitchers!B$2:AA$795,11,FALSE)))</f>
        <v>39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>W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ROS</v>
      </c>
    </row>
    <row r="6" spans="1:36" ht="12.75" customHeight="1">
      <c r="A6" s="6">
        <v>4.04</v>
      </c>
      <c r="B6" s="33" t="s">
        <v>32</v>
      </c>
      <c r="C6" s="33" t="s">
        <v>41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1756</v>
      </c>
      <c r="T6" s="46" t="str">
        <f>IF(ISERROR((VLOOKUP(S6,Pitchers!$B$1:H$800,4,FALSE))),"",(VLOOKUP(S6,Pitchers!$B$1:H$800,4,FALSE)))</f>
        <v>PHI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4</v>
      </c>
      <c r="X6" s="47">
        <f>IF(ISERROR((VLOOKUP(S6,Pitchers!B$2:AA$795,11,FALSE))),"",(VLOOKUP(S6,Pitchers!B$2:AA$795,11,FALSE)))</f>
        <v>85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 xml:space="preserve"> 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>L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ROS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271</v>
      </c>
      <c r="T7" s="46" t="str">
        <f>IF(ISERROR((VLOOKUP(S7,Pitchers!$B$1:H$800,4,FALSE))),"",(VLOOKUP(S7,Pitchers!$B$1:H$800,4,FALSE)))</f>
        <v>TOT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4</v>
      </c>
      <c r="X7" s="47">
        <f>IF(ISERROR((VLOOKUP(S7,Pitchers!B$2:AA$795,11,FALSE))),"",(VLOOKUP(S7,Pitchers!B$2:AA$795,11,FALSE)))</f>
        <v>62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 t="s">
        <v>32</v>
      </c>
      <c r="C8" s="33" t="s">
        <v>54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468</v>
      </c>
      <c r="T8" s="46" t="str">
        <f>IF(ISERROR((VLOOKUP(S8,Pitchers!$B$1:H$800,4,FALSE))),"",(VLOOKUP(S8,Pitchers!$B$1:H$800,4,FALSE)))</f>
        <v>COL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49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>H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ROS</v>
      </c>
    </row>
    <row r="9" spans="1:36" ht="12.75">
      <c r="A9" s="6">
        <v>4.07</v>
      </c>
      <c r="B9" s="33" t="s">
        <v>32</v>
      </c>
      <c r="C9" s="33" t="s">
        <v>54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532</v>
      </c>
      <c r="T9" s="46" t="str">
        <f>IF(ISERROR((VLOOKUP(S9,Pitchers!$B$1:H$800,4,FALSE))),"",(VLOOKUP(S9,Pitchers!$B$1:H$800,4,FALSE)))</f>
        <v>NYY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3</v>
      </c>
      <c r="X9" s="47">
        <f>IF(ISERROR((VLOOKUP(S9,Pitchers!B$2:AA$795,11,FALSE))),"",(VLOOKUP(S9,Pitchers!B$2:AA$795,11,FALSE)))</f>
        <v>94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ROS</v>
      </c>
    </row>
    <row r="10" spans="1:36" ht="12.75">
      <c r="A10" s="6">
        <v>4.08</v>
      </c>
      <c r="B10" s="33" t="s">
        <v>32</v>
      </c>
      <c r="C10" s="33" t="s">
        <v>54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1846</v>
      </c>
      <c r="T10" s="46" t="str">
        <f>IF(ISERROR((VLOOKUP(S10,Pitchers!$B$1:H$800,4,FALSE))),"",(VLOOKUP(S10,Pitchers!$B$1:H$800,4,FALSE)))</f>
        <v>CIN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2</v>
      </c>
      <c r="X10" s="47">
        <f>IF(ISERROR((VLOOKUP(S10,Pitchers!B$2:AA$795,11,FALSE))),"",(VLOOKUP(S10,Pitchers!B$2:AA$795,11,FALSE)))</f>
        <v>200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>W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ROS</v>
      </c>
    </row>
    <row r="11" spans="1:36" ht="12.75">
      <c r="A11" s="6">
        <v>4.09</v>
      </c>
      <c r="B11" s="33" t="s">
        <v>32</v>
      </c>
      <c r="C11" s="33" t="s">
        <v>54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85" t="s">
        <v>1604</v>
      </c>
      <c r="T11" s="46" t="str">
        <f>IF(ISERROR((VLOOKUP(S11,Pitchers!$B$1:H$800,4,FALSE))),"",(VLOOKUP(S11,Pitchers!$B$1:H$800,4,FALSE)))</f>
        <v>PHI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1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>Y</v>
      </c>
      <c r="AC11" s="52" t="str">
        <f>IF(ISERROR((VLOOKUP(S11,Pitchers!B$2:AA$795,17,FALSE))),"",(VLOOKUP(S11,Pitchers!B$2:AA$795,17,FALSE)))</f>
        <v>Z</v>
      </c>
      <c r="AD11" s="53" t="str">
        <f>IF(ISERROR((VLOOKUP(S11,Pitchers!B$2:AA$795,18,FALSE))),"",(VLOOKUP(S11,Pitchers!B$2:AA$795,18,FALSE)))</f>
        <v>L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ROS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6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43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ROS</v>
      </c>
    </row>
    <row r="14" spans="1:36" ht="12.75">
      <c r="A14" s="6">
        <v>4.12</v>
      </c>
      <c r="B14" s="32" t="s">
        <v>32</v>
      </c>
      <c r="C14" s="33" t="s">
        <v>43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ROS</v>
      </c>
    </row>
    <row r="15" spans="1:36" ht="12.75">
      <c r="A15" s="6">
        <v>4.13</v>
      </c>
      <c r="B15" s="32" t="s">
        <v>32</v>
      </c>
      <c r="C15" s="33" t="s">
        <v>43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ROS</v>
      </c>
    </row>
    <row r="16" spans="1:36" ht="12.75">
      <c r="A16" s="6">
        <v>4.1399999999999997</v>
      </c>
      <c r="B16" s="32" t="s">
        <v>32</v>
      </c>
      <c r="C16" s="33" t="s">
        <v>43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ROS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16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ROS</v>
      </c>
    </row>
    <row r="19" spans="1:36" ht="12.75">
      <c r="A19" s="6">
        <v>4.17</v>
      </c>
      <c r="B19" s="33"/>
      <c r="C19" s="33" t="s">
        <v>16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ROS</v>
      </c>
    </row>
    <row r="20" spans="1:36" ht="12.75">
      <c r="A20" s="6">
        <v>4.18</v>
      </c>
      <c r="B20" s="33"/>
      <c r="C20" s="33" t="s">
        <v>16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ROS</v>
      </c>
    </row>
    <row r="21" spans="1:36" ht="12.75">
      <c r="A21" s="6">
        <v>4.1900000000000004</v>
      </c>
      <c r="B21" s="33"/>
      <c r="C21" s="33" t="s">
        <v>16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ROS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34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ROS</v>
      </c>
    </row>
    <row r="24" spans="1:36" ht="12.75">
      <c r="A24" s="6">
        <v>4.22</v>
      </c>
      <c r="B24" s="33"/>
      <c r="C24" s="33" t="s">
        <v>34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ROS</v>
      </c>
    </row>
    <row r="25" spans="1:36" ht="12.75">
      <c r="A25" s="6">
        <v>4.2300000000000004</v>
      </c>
      <c r="B25" s="33"/>
      <c r="C25" s="33" t="s">
        <v>34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ROS</v>
      </c>
    </row>
    <row r="26" spans="1:36" ht="12.75">
      <c r="A26" s="6">
        <v>4.24</v>
      </c>
      <c r="B26" s="33"/>
      <c r="C26" s="33" t="s">
        <v>34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ROS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76" t="s">
        <v>1917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ROS</v>
      </c>
    </row>
    <row r="29" spans="1:36" ht="12.75">
      <c r="A29" s="6">
        <v>4.2699999999999996</v>
      </c>
      <c r="B29" s="33" t="s">
        <v>32</v>
      </c>
      <c r="C29" s="76" t="s">
        <v>1917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ROS</v>
      </c>
    </row>
    <row r="30" spans="1:36" ht="12.75">
      <c r="A30" s="6">
        <v>4.28</v>
      </c>
      <c r="B30" s="33" t="s">
        <v>32</v>
      </c>
      <c r="C30" s="76" t="s">
        <v>1917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ROS</v>
      </c>
    </row>
    <row r="31" spans="1:36" ht="12.75">
      <c r="A31" s="6">
        <v>4.29</v>
      </c>
      <c r="B31" s="33" t="s">
        <v>32</v>
      </c>
      <c r="C31" s="76" t="s">
        <v>1917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ROS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3" t="s">
        <v>32</v>
      </c>
      <c r="C33" s="33" t="s">
        <v>39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ROS</v>
      </c>
    </row>
    <row r="34" spans="1:36" ht="12.75">
      <c r="A34" s="6">
        <v>5.0199999999999996</v>
      </c>
      <c r="B34" s="33" t="s">
        <v>32</v>
      </c>
      <c r="C34" s="33" t="s">
        <v>39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ROS</v>
      </c>
    </row>
    <row r="35" spans="1:36" ht="12.75">
      <c r="A35" s="6">
        <v>5.03</v>
      </c>
      <c r="B35" s="33" t="s">
        <v>32</v>
      </c>
      <c r="C35" s="33" t="s">
        <v>39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ROS</v>
      </c>
    </row>
    <row r="36" spans="1:36" ht="12.75">
      <c r="A36" s="6">
        <v>5.04</v>
      </c>
      <c r="B36" s="33" t="s">
        <v>32</v>
      </c>
      <c r="C36" s="33" t="s">
        <v>39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ROS</v>
      </c>
    </row>
    <row r="37" spans="1:36" ht="12.75">
      <c r="A37" s="6">
        <v>5.05</v>
      </c>
      <c r="B37" s="33"/>
      <c r="C37" s="33" t="s">
        <v>51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ROS</v>
      </c>
    </row>
    <row r="38" spans="1:36" ht="12.75">
      <c r="A38" s="6">
        <v>5.0599999999999996</v>
      </c>
      <c r="B38" s="33"/>
      <c r="C38" s="33" t="s">
        <v>51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ROS</v>
      </c>
    </row>
    <row r="39" spans="1:36" ht="12.75">
      <c r="A39" s="6">
        <v>5.07</v>
      </c>
      <c r="B39" s="33"/>
      <c r="C39" s="33" t="s">
        <v>51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ROS</v>
      </c>
    </row>
    <row r="40" spans="1:36" ht="12.75">
      <c r="A40" s="6">
        <v>5.08</v>
      </c>
      <c r="B40" s="33"/>
      <c r="C40" s="33" t="s">
        <v>51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ROS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56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ROS</v>
      </c>
    </row>
    <row r="43" spans="1:36" ht="12.75">
      <c r="A43" s="6">
        <v>5.1100000000000003</v>
      </c>
      <c r="B43" s="33"/>
      <c r="C43" s="33" t="s">
        <v>56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ROS</v>
      </c>
    </row>
    <row r="44" spans="1:36" ht="12.75">
      <c r="A44" s="6">
        <v>5.12</v>
      </c>
      <c r="B44" s="33"/>
      <c r="C44" s="33" t="s">
        <v>56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ROS</v>
      </c>
    </row>
    <row r="45" spans="1:36" ht="12.75">
      <c r="A45" s="6">
        <v>5.13</v>
      </c>
      <c r="B45" s="33"/>
      <c r="C45" s="33" t="s">
        <v>56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ROS</v>
      </c>
    </row>
    <row r="46" spans="1:36" ht="12.75">
      <c r="A46" s="6">
        <v>5.14</v>
      </c>
      <c r="B46" s="33" t="s">
        <v>32</v>
      </c>
      <c r="C46" s="33" t="s">
        <v>52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ROS</v>
      </c>
    </row>
    <row r="47" spans="1:36" ht="12.75">
      <c r="A47" s="6">
        <v>5.15</v>
      </c>
      <c r="B47" s="33" t="s">
        <v>32</v>
      </c>
      <c r="C47" s="33" t="s">
        <v>52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ROS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52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ROS</v>
      </c>
    </row>
    <row r="50" spans="1:36" ht="12.75">
      <c r="A50" s="6">
        <v>5.18</v>
      </c>
      <c r="B50" s="33" t="s">
        <v>32</v>
      </c>
      <c r="C50" s="33" t="s">
        <v>52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ROS</v>
      </c>
    </row>
    <row r="51" spans="1:36" ht="12.75">
      <c r="A51" s="6">
        <v>5.19</v>
      </c>
      <c r="B51" s="33"/>
      <c r="C51" s="33" t="s">
        <v>33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ROS</v>
      </c>
    </row>
    <row r="52" spans="1:36" ht="12.75">
      <c r="A52" s="6">
        <v>5.2</v>
      </c>
      <c r="B52" s="33"/>
      <c r="C52" s="33" t="s">
        <v>33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ROS</v>
      </c>
    </row>
    <row r="53" spans="1:36" ht="12.75">
      <c r="A53" s="6">
        <v>5.21</v>
      </c>
      <c r="B53" s="33"/>
      <c r="C53" s="33" t="s">
        <v>33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ROS</v>
      </c>
    </row>
    <row r="54" spans="1:36" ht="12.75">
      <c r="A54" s="6">
        <v>5.22</v>
      </c>
      <c r="B54" s="33"/>
      <c r="C54" s="33" t="s">
        <v>33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ROS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55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ROS</v>
      </c>
    </row>
    <row r="57" spans="1:36" ht="12.75">
      <c r="A57" s="6">
        <v>5.25</v>
      </c>
      <c r="B57" s="33" t="s">
        <v>32</v>
      </c>
      <c r="C57" s="33" t="s">
        <v>55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ROS</v>
      </c>
    </row>
    <row r="58" spans="1:36" ht="12.75">
      <c r="A58" s="6">
        <v>5.26</v>
      </c>
      <c r="B58" s="33" t="s">
        <v>32</v>
      </c>
      <c r="C58" s="33" t="s">
        <v>55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ROS</v>
      </c>
    </row>
    <row r="59" spans="1:36" ht="12.75">
      <c r="A59" s="6">
        <v>5.27</v>
      </c>
      <c r="B59" s="33" t="s">
        <v>32</v>
      </c>
      <c r="C59" s="33" t="s">
        <v>55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ROS</v>
      </c>
    </row>
    <row r="60" spans="1:36" ht="12.75">
      <c r="A60" s="6">
        <v>5.28</v>
      </c>
      <c r="B60" s="33" t="s">
        <v>32</v>
      </c>
      <c r="C60" s="33" t="s">
        <v>14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ROS</v>
      </c>
    </row>
    <row r="61" spans="1:36" ht="12.75">
      <c r="A61" s="6">
        <v>5.29</v>
      </c>
      <c r="B61" s="33" t="s">
        <v>32</v>
      </c>
      <c r="C61" s="33" t="s">
        <v>14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ROS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14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ROS</v>
      </c>
    </row>
    <row r="64" spans="1:36" ht="12.75">
      <c r="A64" s="6">
        <v>6.01</v>
      </c>
      <c r="B64" s="33"/>
      <c r="C64" s="33" t="s">
        <v>53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ROS</v>
      </c>
    </row>
    <row r="65" spans="1:36" ht="12.75">
      <c r="A65" s="6">
        <v>6.02</v>
      </c>
      <c r="B65" s="33"/>
      <c r="C65" s="33" t="s">
        <v>53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ROS</v>
      </c>
    </row>
    <row r="66" spans="1:36" ht="12.75">
      <c r="A66" s="6">
        <v>6.03</v>
      </c>
      <c r="B66" s="33"/>
      <c r="C66" s="33" t="s">
        <v>53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ROS</v>
      </c>
    </row>
    <row r="67" spans="1:36" ht="12.75">
      <c r="A67" s="6">
        <v>6.04</v>
      </c>
      <c r="B67" s="33"/>
      <c r="C67" s="33" t="s">
        <v>53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ROS</v>
      </c>
    </row>
    <row r="68" spans="1:36" ht="12.75">
      <c r="A68" s="6">
        <v>6.05</v>
      </c>
      <c r="B68" s="33" t="s">
        <v>32</v>
      </c>
      <c r="C68" s="33" t="s">
        <v>48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ROS</v>
      </c>
    </row>
    <row r="69" spans="1:36" ht="12.75">
      <c r="A69" s="6">
        <v>6.06</v>
      </c>
      <c r="B69" s="33" t="s">
        <v>32</v>
      </c>
      <c r="C69" s="33" t="s">
        <v>48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ROS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3" t="s">
        <v>32</v>
      </c>
      <c r="C71" s="33" t="s">
        <v>48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ROS</v>
      </c>
    </row>
    <row r="72" spans="1:36" ht="12.75">
      <c r="A72" s="6">
        <v>6.09</v>
      </c>
      <c r="B72" s="33" t="s">
        <v>32</v>
      </c>
      <c r="C72" s="33" t="s">
        <v>48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ROS</v>
      </c>
    </row>
    <row r="73" spans="1:36" ht="12.75">
      <c r="A73" s="6">
        <v>6.1</v>
      </c>
      <c r="B73" s="32" t="s">
        <v>32</v>
      </c>
      <c r="C73" s="76" t="s">
        <v>1919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ROS</v>
      </c>
    </row>
    <row r="74" spans="1:36" ht="12.75">
      <c r="A74" s="6">
        <v>6.11</v>
      </c>
      <c r="B74" s="32" t="s">
        <v>32</v>
      </c>
      <c r="C74" s="76" t="s">
        <v>1919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ROS</v>
      </c>
    </row>
    <row r="75" spans="1:36" ht="12.75">
      <c r="A75" s="6">
        <v>6.12</v>
      </c>
      <c r="B75" s="32" t="s">
        <v>32</v>
      </c>
      <c r="C75" s="76" t="s">
        <v>1919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ROS</v>
      </c>
    </row>
    <row r="76" spans="1:36" ht="12.75">
      <c r="A76" s="6">
        <v>6.13</v>
      </c>
      <c r="B76" s="32" t="s">
        <v>32</v>
      </c>
      <c r="C76" s="76" t="s">
        <v>1919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ROS</v>
      </c>
    </row>
    <row r="77" spans="1:36" ht="12.75">
      <c r="A77" s="6">
        <v>6.14</v>
      </c>
      <c r="B77" s="33" t="s">
        <v>32</v>
      </c>
      <c r="C77" s="33" t="s">
        <v>17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ROS</v>
      </c>
    </row>
    <row r="78" spans="1:36" ht="12.75">
      <c r="A78" s="6">
        <v>6.15</v>
      </c>
      <c r="B78" s="33" t="s">
        <v>32</v>
      </c>
      <c r="C78" s="33" t="s">
        <v>17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ROS</v>
      </c>
    </row>
    <row r="79" spans="1:36" ht="12.75">
      <c r="A79" s="6">
        <v>6.16</v>
      </c>
      <c r="B79" s="33" t="s">
        <v>32</v>
      </c>
      <c r="C79" s="33" t="s">
        <v>17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ROS</v>
      </c>
    </row>
    <row r="80" spans="1:36" ht="12.75">
      <c r="A80" s="6">
        <v>6.17</v>
      </c>
      <c r="B80" s="33" t="s">
        <v>32</v>
      </c>
      <c r="C80" s="33" t="s">
        <v>17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ROS</v>
      </c>
    </row>
    <row r="81" spans="1:36" ht="12.75">
      <c r="A81" s="6">
        <v>6.18</v>
      </c>
      <c r="B81" s="33"/>
      <c r="C81" s="33" t="s">
        <v>42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ROS</v>
      </c>
    </row>
    <row r="82" spans="1:36" ht="12.75">
      <c r="A82" s="6">
        <v>6.19</v>
      </c>
      <c r="B82" s="33"/>
      <c r="C82" s="33" t="s">
        <v>42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ROS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3"/>
      <c r="C84" s="33" t="s">
        <v>42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ROS</v>
      </c>
    </row>
    <row r="85" spans="1:36" ht="12.75">
      <c r="A85" s="6">
        <v>6.22</v>
      </c>
      <c r="B85" s="33"/>
      <c r="C85" s="33" t="s">
        <v>42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ROS</v>
      </c>
    </row>
    <row r="86" spans="1:36" ht="12.75">
      <c r="A86" s="6">
        <v>6.23</v>
      </c>
      <c r="B86" s="33"/>
      <c r="C86" s="33" t="s">
        <v>45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ROS</v>
      </c>
    </row>
    <row r="87" spans="1:36" ht="12.75">
      <c r="A87" s="6">
        <v>6.24</v>
      </c>
      <c r="B87" s="33"/>
      <c r="C87" s="33" t="s">
        <v>45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ROS</v>
      </c>
    </row>
    <row r="88" spans="1:36" ht="12.75">
      <c r="A88" s="6">
        <v>6.25</v>
      </c>
      <c r="B88" s="33"/>
      <c r="C88" s="33" t="s">
        <v>45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ROS</v>
      </c>
    </row>
    <row r="89" spans="1:36" ht="12.75">
      <c r="A89" s="6">
        <v>6.26</v>
      </c>
      <c r="B89" s="33"/>
      <c r="C89" s="33" t="s">
        <v>45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ROS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2.75">
      <c r="A91" s="6">
        <v>6.28</v>
      </c>
      <c r="B91" s="32"/>
      <c r="C91" s="33" t="s">
        <v>15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ROS</v>
      </c>
    </row>
    <row r="92" spans="1:36" ht="12.75">
      <c r="A92" s="6">
        <v>6.29</v>
      </c>
      <c r="B92" s="32"/>
      <c r="C92" s="33" t="s">
        <v>15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ROS</v>
      </c>
    </row>
    <row r="93" spans="1:36" ht="12.75">
      <c r="A93" s="6">
        <v>6.3</v>
      </c>
      <c r="B93" s="32"/>
      <c r="C93" s="33" t="s">
        <v>15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ROS</v>
      </c>
    </row>
    <row r="94" spans="1:36" ht="12.75">
      <c r="A94" s="6">
        <v>7.01</v>
      </c>
      <c r="B94" s="33" t="s">
        <v>32</v>
      </c>
      <c r="C94" s="33" t="s">
        <v>13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ROS</v>
      </c>
    </row>
    <row r="95" spans="1:36" ht="12.75">
      <c r="A95" s="6">
        <v>7.02</v>
      </c>
      <c r="B95" s="33" t="s">
        <v>32</v>
      </c>
      <c r="C95" s="33" t="s">
        <v>13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ROS</v>
      </c>
    </row>
    <row r="96" spans="1:36" ht="12.75">
      <c r="A96" s="6">
        <v>7.03</v>
      </c>
      <c r="B96" s="33" t="s">
        <v>32</v>
      </c>
      <c r="C96" s="33" t="s">
        <v>13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ROS</v>
      </c>
    </row>
    <row r="97" spans="1:36" ht="12.75">
      <c r="A97" s="6">
        <v>7.04</v>
      </c>
      <c r="B97" s="33"/>
      <c r="C97" s="33" t="s">
        <v>1191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ROS</v>
      </c>
    </row>
    <row r="98" spans="1:36" ht="12.75">
      <c r="A98" s="6">
        <v>7.05</v>
      </c>
      <c r="B98" s="33"/>
      <c r="C98" s="33" t="s">
        <v>1191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ROS</v>
      </c>
    </row>
    <row r="99" spans="1:36" ht="12.75">
      <c r="A99" s="6">
        <v>7.06</v>
      </c>
      <c r="B99" s="33"/>
      <c r="C99" s="33" t="s">
        <v>1191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ROS</v>
      </c>
    </row>
    <row r="100" spans="1:36" ht="12.75">
      <c r="A100" s="6">
        <v>7.07</v>
      </c>
      <c r="B100" s="33" t="s">
        <v>32</v>
      </c>
      <c r="C100" s="33" t="s">
        <v>12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ROS</v>
      </c>
    </row>
    <row r="101" spans="1:36" ht="12.75">
      <c r="A101" s="6">
        <v>7.08</v>
      </c>
      <c r="B101" s="33" t="s">
        <v>32</v>
      </c>
      <c r="C101" s="33" t="s">
        <v>12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ROS</v>
      </c>
    </row>
    <row r="102" spans="1:36" ht="12.75">
      <c r="A102" s="6">
        <v>7.09</v>
      </c>
      <c r="B102" s="33" t="s">
        <v>32</v>
      </c>
      <c r="C102" s="33" t="s">
        <v>12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ROS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3" t="s">
        <v>32</v>
      </c>
      <c r="C106" s="33" t="s">
        <v>40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ROS</v>
      </c>
    </row>
    <row r="107" spans="1:36" ht="12.75">
      <c r="A107" s="6">
        <v>7.14</v>
      </c>
      <c r="B107" s="33" t="s">
        <v>32</v>
      </c>
      <c r="C107" s="33" t="s">
        <v>40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ROS</v>
      </c>
    </row>
    <row r="108" spans="1:36" ht="12.75">
      <c r="A108" s="6">
        <v>7.15</v>
      </c>
      <c r="B108" s="33" t="s">
        <v>32</v>
      </c>
      <c r="C108" s="33" t="s">
        <v>40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ROS</v>
      </c>
    </row>
    <row r="109" spans="1:36" ht="12.75">
      <c r="A109" s="6">
        <v>7.16</v>
      </c>
      <c r="B109" s="33"/>
      <c r="C109" s="33" t="s">
        <v>46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ROS</v>
      </c>
    </row>
    <row r="110" spans="1:36" ht="12.75">
      <c r="A110" s="6">
        <v>7.17</v>
      </c>
      <c r="B110" s="33"/>
      <c r="C110" s="33" t="s">
        <v>46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ROS</v>
      </c>
    </row>
    <row r="111" spans="1:36" ht="12.75">
      <c r="A111" s="6">
        <v>7.18</v>
      </c>
      <c r="B111" s="33"/>
      <c r="C111" s="33" t="s">
        <v>46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ROS</v>
      </c>
    </row>
    <row r="112" spans="1:36" ht="12.75">
      <c r="A112" s="6">
        <v>7.19</v>
      </c>
      <c r="B112" s="33"/>
      <c r="C112" s="33" t="s">
        <v>35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ROS</v>
      </c>
    </row>
    <row r="113" spans="1:36" ht="12.75">
      <c r="A113" s="6">
        <v>7.2</v>
      </c>
      <c r="B113" s="33"/>
      <c r="C113" s="33" t="s">
        <v>35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ROS</v>
      </c>
    </row>
    <row r="114" spans="1:36" ht="12.75">
      <c r="A114" s="6">
        <v>7.21</v>
      </c>
      <c r="B114" s="33"/>
      <c r="C114" s="33" t="s">
        <v>35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ROS</v>
      </c>
    </row>
    <row r="115" spans="1:36" ht="12.75">
      <c r="A115" s="6">
        <v>7.22</v>
      </c>
      <c r="B115" s="33"/>
      <c r="C115" s="33" t="s">
        <v>35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ROS</v>
      </c>
    </row>
    <row r="116" spans="1:36" ht="12.75">
      <c r="A116" s="6">
        <v>7.23</v>
      </c>
      <c r="B116" s="33"/>
      <c r="C116" s="76" t="s">
        <v>1918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ROS</v>
      </c>
    </row>
    <row r="117" spans="1:36" ht="12.75">
      <c r="A117" s="6">
        <v>7.24</v>
      </c>
      <c r="B117" s="33"/>
      <c r="C117" s="76" t="s">
        <v>1918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ROS</v>
      </c>
    </row>
    <row r="118" spans="1:36" ht="12.75">
      <c r="A118" s="6">
        <v>7.25</v>
      </c>
      <c r="B118" s="33"/>
      <c r="C118" s="76" t="s">
        <v>1918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ROS</v>
      </c>
    </row>
    <row r="119" spans="1:36" ht="12.75">
      <c r="A119" s="6">
        <v>7.26</v>
      </c>
      <c r="B119" s="33"/>
      <c r="C119" s="76" t="s">
        <v>1918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ROS</v>
      </c>
    </row>
    <row r="120" spans="1:36" ht="12.75">
      <c r="A120" s="6">
        <v>7.27</v>
      </c>
      <c r="B120" s="33" t="s">
        <v>32</v>
      </c>
      <c r="C120" s="33" t="s">
        <v>49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ROS</v>
      </c>
    </row>
    <row r="121" spans="1:36" ht="12.75">
      <c r="A121" s="6">
        <v>7.28</v>
      </c>
      <c r="B121" s="33" t="s">
        <v>32</v>
      </c>
      <c r="C121" s="33" t="s">
        <v>49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ROS</v>
      </c>
    </row>
    <row r="122" spans="1:36" ht="12.75">
      <c r="A122" s="6">
        <v>7.29</v>
      </c>
      <c r="B122" s="33" t="s">
        <v>32</v>
      </c>
      <c r="C122" s="33" t="s">
        <v>49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ROS</v>
      </c>
    </row>
    <row r="123" spans="1:36" ht="12.75">
      <c r="A123" s="6">
        <v>7.3</v>
      </c>
      <c r="B123" s="33" t="s">
        <v>32</v>
      </c>
      <c r="C123" s="33" t="s">
        <v>49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ROS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3"/>
      <c r="C125" s="33" t="s">
        <v>44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ROS</v>
      </c>
    </row>
    <row r="126" spans="1:36" ht="12.75">
      <c r="A126" s="6">
        <v>8.02</v>
      </c>
      <c r="B126" s="33"/>
      <c r="C126" s="33" t="s">
        <v>44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ROS</v>
      </c>
    </row>
    <row r="127" spans="1:36" ht="12.75">
      <c r="A127" s="6">
        <v>8.0299999999999994</v>
      </c>
      <c r="B127" s="33"/>
      <c r="C127" s="33" t="s">
        <v>44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ROS</v>
      </c>
    </row>
    <row r="128" spans="1:36" ht="12.75">
      <c r="A128" s="6">
        <v>8.0399999999999991</v>
      </c>
      <c r="B128" s="33"/>
      <c r="C128" s="33" t="s">
        <v>44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ROS</v>
      </c>
    </row>
    <row r="129" spans="1:36" ht="12.75">
      <c r="A129" s="6">
        <v>8.0500000000000007</v>
      </c>
      <c r="B129" s="33"/>
      <c r="C129" s="33" t="s">
        <v>13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ROS</v>
      </c>
    </row>
    <row r="130" spans="1:36" ht="12.75">
      <c r="A130" s="6">
        <v>8.06</v>
      </c>
      <c r="B130" s="33"/>
      <c r="C130" s="33" t="s">
        <v>13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ROS</v>
      </c>
    </row>
    <row r="131" spans="1:36" ht="12.75">
      <c r="A131" s="6">
        <v>8.07</v>
      </c>
      <c r="B131" s="33"/>
      <c r="C131" s="33" t="s">
        <v>13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ROS</v>
      </c>
    </row>
    <row r="132" spans="1:36" ht="12.75">
      <c r="A132" s="6">
        <v>8.08</v>
      </c>
      <c r="B132" s="33"/>
      <c r="C132" s="33" t="s">
        <v>13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ROS</v>
      </c>
    </row>
    <row r="133" spans="1:36" ht="12.75">
      <c r="A133" s="6">
        <v>8.09</v>
      </c>
      <c r="B133" s="33" t="s">
        <v>32</v>
      </c>
      <c r="C133" s="33" t="s">
        <v>46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ROS</v>
      </c>
    </row>
    <row r="134" spans="1:36" ht="12.75">
      <c r="A134" s="6">
        <v>8.1</v>
      </c>
      <c r="B134" s="33" t="s">
        <v>32</v>
      </c>
      <c r="C134" s="33" t="s">
        <v>46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ROS</v>
      </c>
    </row>
    <row r="135" spans="1:36" ht="12.75">
      <c r="A135" s="6">
        <v>8.11</v>
      </c>
      <c r="B135" s="33" t="s">
        <v>32</v>
      </c>
      <c r="C135" s="33" t="s">
        <v>46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ROS</v>
      </c>
    </row>
    <row r="136" spans="1:36" ht="12.75">
      <c r="A136" s="6">
        <v>8.1199999999999992</v>
      </c>
      <c r="B136" s="33" t="s">
        <v>32</v>
      </c>
      <c r="C136" s="33" t="s">
        <v>46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ROS</v>
      </c>
    </row>
    <row r="137" spans="1:36" ht="12.75">
      <c r="A137" s="6">
        <v>8.1300000000000008</v>
      </c>
      <c r="B137" s="32" t="s">
        <v>32</v>
      </c>
      <c r="C137" s="33" t="s">
        <v>15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ROS</v>
      </c>
    </row>
    <row r="138" spans="1:36" ht="12.75">
      <c r="A138" s="6">
        <v>8.14</v>
      </c>
      <c r="B138" s="32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2" t="s">
        <v>32</v>
      </c>
      <c r="C139" s="33" t="s">
        <v>15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ROS</v>
      </c>
    </row>
    <row r="140" spans="1:36" ht="12.75">
      <c r="A140" s="6">
        <v>8.16</v>
      </c>
      <c r="B140" s="32" t="s">
        <v>32</v>
      </c>
      <c r="C140" s="33" t="s">
        <v>15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ROS</v>
      </c>
    </row>
    <row r="141" spans="1:36" ht="12.75">
      <c r="A141" s="6">
        <v>8.17</v>
      </c>
      <c r="B141" s="32" t="s">
        <v>32</v>
      </c>
      <c r="C141" s="33" t="s">
        <v>15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ROS</v>
      </c>
    </row>
    <row r="142" spans="1:36" ht="12.75">
      <c r="A142" s="6">
        <v>8.18</v>
      </c>
      <c r="B142" s="33"/>
      <c r="C142" s="33" t="s">
        <v>39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ROS</v>
      </c>
    </row>
    <row r="143" spans="1:36" ht="12.75">
      <c r="A143" s="6">
        <v>8.19</v>
      </c>
      <c r="B143" s="33"/>
      <c r="C143" s="33" t="s">
        <v>39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ROS</v>
      </c>
    </row>
    <row r="144" spans="1:36" ht="12.75">
      <c r="A144" s="6">
        <v>8.1999999999999993</v>
      </c>
      <c r="B144" s="33"/>
      <c r="C144" s="33" t="s">
        <v>39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ROS</v>
      </c>
    </row>
    <row r="145" spans="1:36" ht="12.75">
      <c r="A145" s="6">
        <v>8.2100000000000009</v>
      </c>
      <c r="B145" s="33"/>
      <c r="C145" s="33" t="s">
        <v>40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ROS</v>
      </c>
    </row>
    <row r="146" spans="1:36" ht="12.75">
      <c r="A146" s="6">
        <v>8.2200000000000006</v>
      </c>
      <c r="B146" s="33"/>
      <c r="C146" s="33" t="s">
        <v>40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ROS</v>
      </c>
    </row>
    <row r="147" spans="1:36" ht="12.75">
      <c r="A147" s="6">
        <v>8.23</v>
      </c>
      <c r="B147" s="33"/>
      <c r="C147" s="33" t="s">
        <v>40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ROS</v>
      </c>
    </row>
    <row r="148" spans="1:36" ht="12.75">
      <c r="A148" s="6">
        <v>8.24</v>
      </c>
      <c r="B148" s="33"/>
      <c r="C148" s="33" t="s">
        <v>40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ROS</v>
      </c>
    </row>
    <row r="149" spans="1:36" ht="12.75">
      <c r="A149" s="6">
        <v>8.25</v>
      </c>
      <c r="B149" s="33" t="s">
        <v>32</v>
      </c>
      <c r="C149" s="33" t="s">
        <v>1191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ROS</v>
      </c>
    </row>
    <row r="150" spans="1:36" ht="12.75">
      <c r="A150" s="6">
        <v>8.26</v>
      </c>
      <c r="B150" s="33" t="s">
        <v>32</v>
      </c>
      <c r="C150" s="33" t="s">
        <v>1191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ROS</v>
      </c>
    </row>
    <row r="151" spans="1:36" ht="12.75">
      <c r="A151" s="6">
        <v>8.27</v>
      </c>
      <c r="B151" s="33" t="s">
        <v>32</v>
      </c>
      <c r="C151" s="33" t="s">
        <v>1191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ROS</v>
      </c>
    </row>
    <row r="152" spans="1:36" ht="12.75">
      <c r="A152" s="6">
        <v>8.2799999999999994</v>
      </c>
      <c r="B152" s="33" t="s">
        <v>32</v>
      </c>
      <c r="C152" s="33" t="s">
        <v>1191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ROS</v>
      </c>
    </row>
    <row r="153" spans="1:36" ht="12.75">
      <c r="A153" s="6">
        <v>8.2899999999999991</v>
      </c>
      <c r="B153" s="33" t="s">
        <v>32</v>
      </c>
      <c r="C153" s="33" t="s">
        <v>51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ROS</v>
      </c>
    </row>
    <row r="154" spans="1:36" ht="12.75">
      <c r="A154" s="6">
        <v>8.3000000000000007</v>
      </c>
      <c r="B154" s="33" t="s">
        <v>32</v>
      </c>
      <c r="C154" s="33" t="s">
        <v>51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ROS</v>
      </c>
    </row>
    <row r="155" spans="1:36" ht="12.75">
      <c r="A155" s="6">
        <v>8.31</v>
      </c>
      <c r="B155" s="33" t="s">
        <v>32</v>
      </c>
      <c r="C155" s="33" t="s">
        <v>51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ROS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33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ROS</v>
      </c>
    </row>
    <row r="158" spans="1:36" ht="12.75">
      <c r="A158" s="6">
        <v>9.0299999999999994</v>
      </c>
      <c r="B158" s="33" t="s">
        <v>32</v>
      </c>
      <c r="C158" s="33" t="s">
        <v>33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ROS</v>
      </c>
    </row>
    <row r="159" spans="1:36" ht="12.75">
      <c r="A159" s="6">
        <v>9.0399999999999991</v>
      </c>
      <c r="B159" s="33" t="s">
        <v>32</v>
      </c>
      <c r="C159" s="33" t="s">
        <v>33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ROS</v>
      </c>
    </row>
    <row r="160" spans="1:36" ht="12.75">
      <c r="A160" s="6">
        <v>9.0500000000000007</v>
      </c>
      <c r="B160" s="33"/>
      <c r="C160" s="33" t="s">
        <v>48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ROS</v>
      </c>
    </row>
    <row r="161" spans="1:36" ht="12.75">
      <c r="A161" s="6">
        <v>9.06</v>
      </c>
      <c r="B161" s="33"/>
      <c r="C161" s="33" t="s">
        <v>48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ROS</v>
      </c>
    </row>
    <row r="162" spans="1:36" ht="12.75">
      <c r="A162" s="6">
        <v>9.07</v>
      </c>
      <c r="B162" s="33"/>
      <c r="C162" s="33" t="s">
        <v>48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ROS</v>
      </c>
    </row>
    <row r="163" spans="1:36" ht="12.75">
      <c r="A163" s="6">
        <v>9.08</v>
      </c>
      <c r="B163" s="33"/>
      <c r="C163" s="33" t="s">
        <v>52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ROS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52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ROS</v>
      </c>
    </row>
    <row r="166" spans="1:36" ht="12.75">
      <c r="A166" s="6">
        <v>9.11</v>
      </c>
      <c r="B166" s="33"/>
      <c r="C166" s="33" t="s">
        <v>52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ROS</v>
      </c>
    </row>
    <row r="167" spans="1:36" ht="12.75">
      <c r="A167" s="6">
        <v>9.1199999999999992</v>
      </c>
      <c r="B167" s="33"/>
      <c r="C167" s="33" t="s">
        <v>14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ROS</v>
      </c>
    </row>
    <row r="168" spans="1:36" ht="12.75">
      <c r="A168" s="6">
        <v>9.1300000000000008</v>
      </c>
      <c r="B168" s="33"/>
      <c r="C168" s="33" t="s">
        <v>14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ROS</v>
      </c>
    </row>
    <row r="169" spans="1:36" ht="12.75">
      <c r="A169" s="6">
        <v>9.14</v>
      </c>
      <c r="B169" s="33"/>
      <c r="C169" s="33" t="s">
        <v>14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ROS</v>
      </c>
    </row>
    <row r="170" spans="1:36" ht="12.75">
      <c r="A170" s="6">
        <v>9.15</v>
      </c>
      <c r="B170" s="33"/>
      <c r="C170" s="33" t="s">
        <v>14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ROS</v>
      </c>
    </row>
    <row r="171" spans="1:36" ht="12.75">
      <c r="A171" s="6">
        <v>9.16</v>
      </c>
      <c r="B171" s="33" t="s">
        <v>32</v>
      </c>
      <c r="C171" s="33" t="s">
        <v>44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ROS</v>
      </c>
    </row>
    <row r="172" spans="1:36" ht="12.75">
      <c r="A172" s="6">
        <v>9.17</v>
      </c>
      <c r="B172" s="33" t="s">
        <v>32</v>
      </c>
      <c r="C172" s="33" t="s">
        <v>44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ROS</v>
      </c>
    </row>
    <row r="173" spans="1:36" ht="12.75">
      <c r="A173" s="6">
        <v>9.18</v>
      </c>
      <c r="B173" s="33" t="s">
        <v>32</v>
      </c>
      <c r="C173" s="33" t="s">
        <v>44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ROS</v>
      </c>
    </row>
    <row r="174" spans="1:36" ht="12.75">
      <c r="A174" s="6">
        <v>9.19</v>
      </c>
      <c r="B174" s="33"/>
      <c r="C174" s="33" t="s">
        <v>12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ROS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12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ROS</v>
      </c>
    </row>
    <row r="177" spans="1:36" ht="12.75">
      <c r="A177" s="6">
        <v>9.2200000000000006</v>
      </c>
      <c r="B177" s="33"/>
      <c r="C177" s="33" t="s">
        <v>12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ROS</v>
      </c>
    </row>
    <row r="178" spans="1:36" ht="12.75">
      <c r="A178" s="6">
        <v>9.23</v>
      </c>
      <c r="B178" s="33"/>
      <c r="C178" s="33" t="s">
        <v>12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ROS</v>
      </c>
    </row>
    <row r="179" spans="1:36" ht="12.75">
      <c r="A179" s="6">
        <v>9.24</v>
      </c>
      <c r="B179" s="33"/>
      <c r="C179" s="33" t="s">
        <v>41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ROS</v>
      </c>
    </row>
    <row r="180" spans="1:36" ht="12.75">
      <c r="A180" s="6">
        <v>9.25</v>
      </c>
      <c r="B180" s="33"/>
      <c r="C180" s="33" t="s">
        <v>41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ROS</v>
      </c>
    </row>
    <row r="181" spans="1:36" ht="12.75">
      <c r="A181" s="6">
        <v>9.26</v>
      </c>
      <c r="B181" s="33"/>
      <c r="C181" s="33" t="s">
        <v>41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ROS</v>
      </c>
    </row>
    <row r="182" spans="1:36" ht="12.75">
      <c r="A182" s="6">
        <v>9.27</v>
      </c>
      <c r="B182" s="33" t="s">
        <v>32</v>
      </c>
      <c r="C182" s="33" t="s">
        <v>45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ROS</v>
      </c>
    </row>
    <row r="183" spans="1:36" ht="12.75">
      <c r="A183" s="6">
        <v>9.2799999999999994</v>
      </c>
      <c r="B183" s="33" t="s">
        <v>32</v>
      </c>
      <c r="C183" s="33" t="s">
        <v>45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ROS</v>
      </c>
    </row>
    <row r="184" spans="1:36" ht="12.75">
      <c r="A184" s="6">
        <v>9.2899999999999991</v>
      </c>
      <c r="B184" s="33" t="s">
        <v>32</v>
      </c>
      <c r="C184" s="33" t="s">
        <v>45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ROS</v>
      </c>
    </row>
    <row r="185" spans="1:36" ht="12.75">
      <c r="A185" s="6">
        <v>9.3000000000000007</v>
      </c>
      <c r="B185" s="33" t="s">
        <v>32</v>
      </c>
      <c r="C185" s="33" t="s">
        <v>45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ROS</v>
      </c>
    </row>
    <row r="186" spans="1:36">
      <c r="A186" s="6"/>
      <c r="B186" s="6"/>
      <c r="D186" s="4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6"/>
      <c r="B190" s="6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4:36"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4:36">
      <c r="K194" s="2"/>
      <c r="AJ194" s="2"/>
    </row>
    <row r="195" spans="4:36">
      <c r="K195" s="2"/>
      <c r="AJ195" s="2"/>
    </row>
    <row r="196" spans="4:36">
      <c r="K196" s="2"/>
      <c r="AJ196" s="2"/>
    </row>
    <row r="197" spans="4:36">
      <c r="K197" s="2"/>
      <c r="AJ197" s="2"/>
    </row>
    <row r="198" spans="4:36">
      <c r="K198" s="2"/>
      <c r="AJ198" s="2"/>
    </row>
    <row r="199" spans="4:36">
      <c r="K199" s="2"/>
      <c r="AJ199" s="2"/>
    </row>
    <row r="200" spans="4:36">
      <c r="K200" s="2"/>
      <c r="AJ200" s="2"/>
    </row>
    <row r="201" spans="4:36">
      <c r="K201" s="2"/>
      <c r="AJ201" s="2"/>
    </row>
    <row r="202" spans="4:36">
      <c r="K202" s="2"/>
      <c r="AJ202" s="2"/>
    </row>
    <row r="203" spans="4:36">
      <c r="K203" s="2"/>
      <c r="AJ203" s="2"/>
    </row>
    <row r="204" spans="4:36">
      <c r="AJ204" s="2"/>
    </row>
    <row r="205" spans="4:36">
      <c r="AJ205" s="2"/>
    </row>
    <row r="206" spans="4:36">
      <c r="AJ206" s="2"/>
    </row>
    <row r="207" spans="4:36">
      <c r="AJ207" s="2"/>
    </row>
    <row r="208" spans="4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1189" priority="2871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188" priority="2872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1187" priority="2873" stopIfTrue="1" operator="equal">
      <formula>"input a different starter in column C"</formula>
    </cfRule>
  </conditionalFormatting>
  <conditionalFormatting sqref="AK23">
    <cfRule type="cellIs" dxfId="1186" priority="2875" stopIfTrue="1" operator="equal">
      <formula>"must have 162 starts"</formula>
    </cfRule>
  </conditionalFormatting>
  <conditionalFormatting sqref="AG3:AG22">
    <cfRule type="cellIs" dxfId="1185" priority="2382" stopIfTrue="1" operator="equal">
      <formula>"must average at least 5 innings per start"</formula>
    </cfRule>
  </conditionalFormatting>
  <conditionalFormatting sqref="AG23">
    <cfRule type="cellIs" dxfId="1184" priority="2381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183" priority="238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182" priority="237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181" priority="237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180" priority="237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1179" priority="2376" stopIfTrue="1" operator="equal">
      <formula>"input starter in column C"</formula>
    </cfRule>
  </conditionalFormatting>
  <conditionalFormatting sqref="P3">
    <cfRule type="cellIs" dxfId="1178" priority="2375" stopIfTrue="1" operator="equal">
      <formula>"input starter in column D"</formula>
    </cfRule>
  </conditionalFormatting>
  <conditionalFormatting sqref="P4">
    <cfRule type="cellIs" dxfId="1177" priority="2374" stopIfTrue="1" operator="equal">
      <formula>"input starter in column D"</formula>
    </cfRule>
  </conditionalFormatting>
  <conditionalFormatting sqref="P5">
    <cfRule type="cellIs" dxfId="1176" priority="2373" stopIfTrue="1" operator="equal">
      <formula>"INPUT STARTER IN COLUMN D"</formula>
    </cfRule>
  </conditionalFormatting>
  <conditionalFormatting sqref="P6">
    <cfRule type="cellIs" dxfId="1175" priority="2372" stopIfTrue="1" operator="equal">
      <formula>"INPUT STARTER IN COLUMN D"</formula>
    </cfRule>
  </conditionalFormatting>
  <conditionalFormatting sqref="P8">
    <cfRule type="cellIs" dxfId="1174" priority="2371" stopIfTrue="1" operator="equal">
      <formula>"INPUT STARTER IN COLUMN D"</formula>
    </cfRule>
  </conditionalFormatting>
  <conditionalFormatting sqref="P9">
    <cfRule type="cellIs" dxfId="1173" priority="2370" stopIfTrue="1" operator="equal">
      <formula>"INPUT STARTER IN COLUMN D"</formula>
    </cfRule>
  </conditionalFormatting>
  <conditionalFormatting sqref="P10">
    <cfRule type="cellIs" dxfId="1172" priority="2369" stopIfTrue="1" operator="equal">
      <formula>"INPUT STARTER IN COLUMN D"</formula>
    </cfRule>
  </conditionalFormatting>
  <conditionalFormatting sqref="P11">
    <cfRule type="cellIs" dxfId="1171" priority="2368" stopIfTrue="1" operator="equal">
      <formula>"INPUT STARTER IN COLUMN D"</formula>
    </cfRule>
  </conditionalFormatting>
  <conditionalFormatting sqref="P13">
    <cfRule type="cellIs" dxfId="1170" priority="2367" stopIfTrue="1" operator="equal">
      <formula>"INPUT STARTER IN COLUMN D"</formula>
    </cfRule>
  </conditionalFormatting>
  <conditionalFormatting sqref="P14">
    <cfRule type="cellIs" dxfId="1169" priority="2366" stopIfTrue="1" operator="equal">
      <formula>"INPUT STARTER IN COLUMN D"</formula>
    </cfRule>
  </conditionalFormatting>
  <conditionalFormatting sqref="P15">
    <cfRule type="cellIs" dxfId="1168" priority="2365" stopIfTrue="1" operator="equal">
      <formula>"INPUT STARTER IN COLUMN D"</formula>
    </cfRule>
  </conditionalFormatting>
  <conditionalFormatting sqref="P16">
    <cfRule type="cellIs" dxfId="1167" priority="2364" stopIfTrue="1" operator="equal">
      <formula>"INPUT STARTER IN COLUMN D"</formula>
    </cfRule>
  </conditionalFormatting>
  <conditionalFormatting sqref="P18">
    <cfRule type="cellIs" dxfId="1166" priority="2363" stopIfTrue="1" operator="equal">
      <formula>"INPUT STARTER IN COLUMN D"</formula>
    </cfRule>
  </conditionalFormatting>
  <conditionalFormatting sqref="P19">
    <cfRule type="cellIs" dxfId="1165" priority="2362" stopIfTrue="1" operator="equal">
      <formula>"INPUT STARTER IN COLUMN D"</formula>
    </cfRule>
  </conditionalFormatting>
  <conditionalFormatting sqref="P20">
    <cfRule type="cellIs" dxfId="1164" priority="2361" stopIfTrue="1" operator="equal">
      <formula>"INPUT STARTER IN COLUMN D"</formula>
    </cfRule>
  </conditionalFormatting>
  <conditionalFormatting sqref="P21">
    <cfRule type="cellIs" dxfId="1163" priority="2360" stopIfTrue="1" operator="equal">
      <formula>"INPUT STARTER IN COLUMN D"</formula>
    </cfRule>
  </conditionalFormatting>
  <conditionalFormatting sqref="P23">
    <cfRule type="cellIs" dxfId="1162" priority="2359" stopIfTrue="1" operator="equal">
      <formula>"INPUT STARTER IN COLUMN D"</formula>
    </cfRule>
  </conditionalFormatting>
  <conditionalFormatting sqref="P24">
    <cfRule type="cellIs" dxfId="1161" priority="2358" stopIfTrue="1" operator="equal">
      <formula>"INPUT STARTER IN COLUMN D"</formula>
    </cfRule>
  </conditionalFormatting>
  <conditionalFormatting sqref="P25">
    <cfRule type="cellIs" dxfId="1160" priority="2357" stopIfTrue="1" operator="equal">
      <formula>"INPUT STARTER IN COLUMN D"</formula>
    </cfRule>
  </conditionalFormatting>
  <conditionalFormatting sqref="P26">
    <cfRule type="cellIs" dxfId="1159" priority="2356" stopIfTrue="1" operator="equal">
      <formula>"INPUT STARTER IN COLUMN D"</formula>
    </cfRule>
  </conditionalFormatting>
  <conditionalFormatting sqref="P28">
    <cfRule type="cellIs" dxfId="1158" priority="2355" stopIfTrue="1" operator="equal">
      <formula>"INPUT STARTER IN COLUMN D"</formula>
    </cfRule>
  </conditionalFormatting>
  <conditionalFormatting sqref="P29">
    <cfRule type="cellIs" dxfId="1157" priority="2354" stopIfTrue="1" operator="equal">
      <formula>"INPUT STARTER IN COLUMN D"</formula>
    </cfRule>
  </conditionalFormatting>
  <conditionalFormatting sqref="P30">
    <cfRule type="cellIs" dxfId="1156" priority="2353" stopIfTrue="1" operator="equal">
      <formula>"INPUT STARTER IN COLUMN D"</formula>
    </cfRule>
  </conditionalFormatting>
  <conditionalFormatting sqref="P31">
    <cfRule type="cellIs" dxfId="1155" priority="2352" stopIfTrue="1" operator="equal">
      <formula>"INPUT STARTER IN COLUMN D"</formula>
    </cfRule>
  </conditionalFormatting>
  <conditionalFormatting sqref="P33">
    <cfRule type="cellIs" dxfId="1154" priority="2351" stopIfTrue="1" operator="equal">
      <formula>"INPUT STARTER IN COLUMN D"</formula>
    </cfRule>
  </conditionalFormatting>
  <conditionalFormatting sqref="P34">
    <cfRule type="cellIs" dxfId="1153" priority="2350" stopIfTrue="1" operator="equal">
      <formula>"INPUT STARTER IN COLUMN D"</formula>
    </cfRule>
  </conditionalFormatting>
  <conditionalFormatting sqref="P35">
    <cfRule type="cellIs" dxfId="1152" priority="2349" stopIfTrue="1" operator="equal">
      <formula>"INPUT STARTER IN COLUMN D"</formula>
    </cfRule>
  </conditionalFormatting>
  <conditionalFormatting sqref="P36">
    <cfRule type="cellIs" dxfId="1151" priority="2348" stopIfTrue="1" operator="equal">
      <formula>"INPUT STARTER IN COLUMN D"</formula>
    </cfRule>
  </conditionalFormatting>
  <conditionalFormatting sqref="P37">
    <cfRule type="cellIs" dxfId="1150" priority="2347" stopIfTrue="1" operator="equal">
      <formula>"INPUT STARTER IN COLUMN D"</formula>
    </cfRule>
  </conditionalFormatting>
  <conditionalFormatting sqref="P38">
    <cfRule type="cellIs" dxfId="1149" priority="2346" stopIfTrue="1" operator="equal">
      <formula>"INPUT STARTER IN COLUMN D"</formula>
    </cfRule>
  </conditionalFormatting>
  <conditionalFormatting sqref="P39">
    <cfRule type="cellIs" dxfId="1148" priority="2345" stopIfTrue="1" operator="equal">
      <formula>"INPUT STARTER IN COLUMN D"</formula>
    </cfRule>
  </conditionalFormatting>
  <conditionalFormatting sqref="P40">
    <cfRule type="cellIs" dxfId="1147" priority="2344" stopIfTrue="1" operator="equal">
      <formula>"INPUT STARTER IN COLUMN D"</formula>
    </cfRule>
  </conditionalFormatting>
  <conditionalFormatting sqref="P42">
    <cfRule type="cellIs" dxfId="1146" priority="2343" stopIfTrue="1" operator="equal">
      <formula>"INPUT STARTER IN COLUMN D"</formula>
    </cfRule>
  </conditionalFormatting>
  <conditionalFormatting sqref="P43">
    <cfRule type="cellIs" dxfId="1145" priority="2342" stopIfTrue="1" operator="equal">
      <formula>"INPUT STARTER IN COLUMN D"</formula>
    </cfRule>
  </conditionalFormatting>
  <conditionalFormatting sqref="P44">
    <cfRule type="cellIs" dxfId="1144" priority="2341" stopIfTrue="1" operator="equal">
      <formula>"INPUT STARTER IN COLUMN D"</formula>
    </cfRule>
  </conditionalFormatting>
  <conditionalFormatting sqref="P45">
    <cfRule type="cellIs" dxfId="1143" priority="2340" stopIfTrue="1" operator="equal">
      <formula>"INPUT STARTER IN COLUMN D"</formula>
    </cfRule>
  </conditionalFormatting>
  <conditionalFormatting sqref="P46">
    <cfRule type="cellIs" dxfId="1142" priority="2339" stopIfTrue="1" operator="equal">
      <formula>"INPUT STARTER IN COLUMN D"</formula>
    </cfRule>
  </conditionalFormatting>
  <conditionalFormatting sqref="P47">
    <cfRule type="cellIs" dxfId="1141" priority="2338" stopIfTrue="1" operator="equal">
      <formula>"INPUT STARTER IN COLUMN D"</formula>
    </cfRule>
  </conditionalFormatting>
  <conditionalFormatting sqref="P49">
    <cfRule type="cellIs" dxfId="1140" priority="2337" stopIfTrue="1" operator="equal">
      <formula>"INPUT STARTER IN COLUMN D"</formula>
    </cfRule>
  </conditionalFormatting>
  <conditionalFormatting sqref="P50">
    <cfRule type="cellIs" dxfId="1139" priority="2336" stopIfTrue="1" operator="equal">
      <formula>"INPUT STARTER IN COLUMN D"</formula>
    </cfRule>
  </conditionalFormatting>
  <conditionalFormatting sqref="P51">
    <cfRule type="cellIs" dxfId="1138" priority="2335" stopIfTrue="1" operator="equal">
      <formula>"INPUT STARTER IN COLUMN D"</formula>
    </cfRule>
  </conditionalFormatting>
  <conditionalFormatting sqref="P52">
    <cfRule type="cellIs" dxfId="1137" priority="2334" stopIfTrue="1" operator="equal">
      <formula>"INPUT STARTER IN COLUMN D"</formula>
    </cfRule>
  </conditionalFormatting>
  <conditionalFormatting sqref="P53">
    <cfRule type="cellIs" dxfId="1136" priority="2333" stopIfTrue="1" operator="equal">
      <formula>"INPUT STARTER IN COLUMN D"</formula>
    </cfRule>
  </conditionalFormatting>
  <conditionalFormatting sqref="P54">
    <cfRule type="cellIs" dxfId="1135" priority="2332" stopIfTrue="1" operator="equal">
      <formula>"INPUT STARTER IN COLUMN D"</formula>
    </cfRule>
  </conditionalFormatting>
  <conditionalFormatting sqref="P56">
    <cfRule type="cellIs" dxfId="1134" priority="2331" stopIfTrue="1" operator="equal">
      <formula>"INPUT STARTER IN COLUMN D"</formula>
    </cfRule>
  </conditionalFormatting>
  <conditionalFormatting sqref="P57">
    <cfRule type="cellIs" dxfId="1133" priority="2330" stopIfTrue="1" operator="equal">
      <formula>"INPUT STARTER IN COLUMN D"</formula>
    </cfRule>
  </conditionalFormatting>
  <conditionalFormatting sqref="P58">
    <cfRule type="cellIs" dxfId="1132" priority="2329" stopIfTrue="1" operator="equal">
      <formula>"INPUT STARTER IN COLUMN D"</formula>
    </cfRule>
  </conditionalFormatting>
  <conditionalFormatting sqref="P59">
    <cfRule type="cellIs" dxfId="1131" priority="2328" stopIfTrue="1" operator="equal">
      <formula>"INPUT STARTER IN COLUMN D"</formula>
    </cfRule>
  </conditionalFormatting>
  <conditionalFormatting sqref="P60">
    <cfRule type="cellIs" dxfId="1130" priority="2327" stopIfTrue="1" operator="equal">
      <formula>"INPUT STARTER IN COLUMN D"</formula>
    </cfRule>
  </conditionalFormatting>
  <conditionalFormatting sqref="P61">
    <cfRule type="cellIs" dxfId="1129" priority="2326" stopIfTrue="1" operator="equal">
      <formula>"INPUT STARTER IN COLUMN D"</formula>
    </cfRule>
  </conditionalFormatting>
  <conditionalFormatting sqref="P63">
    <cfRule type="cellIs" dxfId="1128" priority="2325" stopIfTrue="1" operator="equal">
      <formula>"INPUT STARTER IN COLUMN D"</formula>
    </cfRule>
  </conditionalFormatting>
  <conditionalFormatting sqref="P64">
    <cfRule type="cellIs" dxfId="1127" priority="2324" stopIfTrue="1" operator="equal">
      <formula>"INPUT STARTER IN COLUMN D"</formula>
    </cfRule>
  </conditionalFormatting>
  <conditionalFormatting sqref="P65">
    <cfRule type="cellIs" dxfId="1126" priority="2323" stopIfTrue="1" operator="equal">
      <formula>"INPUT STARTER IN COLUMN D"</formula>
    </cfRule>
  </conditionalFormatting>
  <conditionalFormatting sqref="P66">
    <cfRule type="cellIs" dxfId="1125" priority="2322" stopIfTrue="1" operator="equal">
      <formula>"INPUT STARTER IN COLUMN D"</formula>
    </cfRule>
  </conditionalFormatting>
  <conditionalFormatting sqref="P67">
    <cfRule type="cellIs" dxfId="1124" priority="2321" stopIfTrue="1" operator="equal">
      <formula>"INPUT STARTER IN COLUMN D"</formula>
    </cfRule>
  </conditionalFormatting>
  <conditionalFormatting sqref="P68">
    <cfRule type="cellIs" dxfId="1123" priority="2320" stopIfTrue="1" operator="equal">
      <formula>"INPUT STARTER IN COLUMN D"</formula>
    </cfRule>
  </conditionalFormatting>
  <conditionalFormatting sqref="P69">
    <cfRule type="cellIs" dxfId="1122" priority="2319" stopIfTrue="1" operator="equal">
      <formula>"INPUT STARTER IN COLUMN D"</formula>
    </cfRule>
  </conditionalFormatting>
  <conditionalFormatting sqref="P71">
    <cfRule type="cellIs" dxfId="1121" priority="2318" stopIfTrue="1" operator="equal">
      <formula>"INPUT STARTER IN COLUMN D"</formula>
    </cfRule>
  </conditionalFormatting>
  <conditionalFormatting sqref="P72">
    <cfRule type="cellIs" dxfId="1120" priority="2317" stopIfTrue="1" operator="equal">
      <formula>"INPUT STARTER IN COLUMN D"</formula>
    </cfRule>
  </conditionalFormatting>
  <conditionalFormatting sqref="P73">
    <cfRule type="cellIs" dxfId="1119" priority="2316" stopIfTrue="1" operator="equal">
      <formula>"INPUT STARTER IN COLUMN D"</formula>
    </cfRule>
  </conditionalFormatting>
  <conditionalFormatting sqref="P74">
    <cfRule type="cellIs" dxfId="1118" priority="2315" stopIfTrue="1" operator="equal">
      <formula>"INPUT STARTER IN COLUMN D"</formula>
    </cfRule>
  </conditionalFormatting>
  <conditionalFormatting sqref="P75">
    <cfRule type="cellIs" dxfId="1117" priority="2314" stopIfTrue="1" operator="equal">
      <formula>"INPUT STARTER IN COLUMN D"</formula>
    </cfRule>
  </conditionalFormatting>
  <conditionalFormatting sqref="P76">
    <cfRule type="cellIs" dxfId="1116" priority="2313" stopIfTrue="1" operator="equal">
      <formula>"INPUT STARTER IN COLUMN D"</formula>
    </cfRule>
  </conditionalFormatting>
  <conditionalFormatting sqref="P77">
    <cfRule type="cellIs" dxfId="1115" priority="2312" stopIfTrue="1" operator="equal">
      <formula>"INPUT STARTER IN COLUMN D"</formula>
    </cfRule>
  </conditionalFormatting>
  <conditionalFormatting sqref="P78">
    <cfRule type="cellIs" dxfId="1114" priority="2311" stopIfTrue="1" operator="equal">
      <formula>"INPUT STARTER IN COLUMN D"</formula>
    </cfRule>
  </conditionalFormatting>
  <conditionalFormatting sqref="P79">
    <cfRule type="cellIs" dxfId="1113" priority="2310" stopIfTrue="1" operator="equal">
      <formula>"INPUT STARTER IN COLUMN D"</formula>
    </cfRule>
  </conditionalFormatting>
  <conditionalFormatting sqref="P80">
    <cfRule type="cellIs" dxfId="1112" priority="2309" stopIfTrue="1" operator="equal">
      <formula>"INPUT STARTER IN COLUMN D"</formula>
    </cfRule>
  </conditionalFormatting>
  <conditionalFormatting sqref="P81">
    <cfRule type="cellIs" dxfId="1111" priority="2308" stopIfTrue="1" operator="equal">
      <formula>"INPUT STARTER IN COLUMN D"</formula>
    </cfRule>
  </conditionalFormatting>
  <conditionalFormatting sqref="P82">
    <cfRule type="cellIs" dxfId="1110" priority="2307" stopIfTrue="1" operator="equal">
      <formula>"INPUT STARTER IN COLUMN D"</formula>
    </cfRule>
  </conditionalFormatting>
  <conditionalFormatting sqref="P84">
    <cfRule type="cellIs" dxfId="1109" priority="2306" stopIfTrue="1" operator="equal">
      <formula>"INPUT STARTER IN COLUMN D"</formula>
    </cfRule>
  </conditionalFormatting>
  <conditionalFormatting sqref="P85">
    <cfRule type="cellIs" dxfId="1108" priority="2305" stopIfTrue="1" operator="equal">
      <formula>"INPUT STARTER IN COLUMN D"</formula>
    </cfRule>
  </conditionalFormatting>
  <conditionalFormatting sqref="P86">
    <cfRule type="cellIs" dxfId="1107" priority="2304" stopIfTrue="1" operator="equal">
      <formula>"INPUT STARTER IN COLUMN D"</formula>
    </cfRule>
  </conditionalFormatting>
  <conditionalFormatting sqref="P87">
    <cfRule type="cellIs" dxfId="1106" priority="2303" stopIfTrue="1" operator="equal">
      <formula>"INPUT STARTER IN COLUMN D"</formula>
    </cfRule>
  </conditionalFormatting>
  <conditionalFormatting sqref="P88">
    <cfRule type="cellIs" dxfId="1105" priority="2302" stopIfTrue="1" operator="equal">
      <formula>"INPUT STARTER IN COLUMN D"</formula>
    </cfRule>
  </conditionalFormatting>
  <conditionalFormatting sqref="P89">
    <cfRule type="cellIs" dxfId="1104" priority="2301" stopIfTrue="1" operator="equal">
      <formula>"INPUT STARTER IN COLUMN D"</formula>
    </cfRule>
  </conditionalFormatting>
  <conditionalFormatting sqref="P91">
    <cfRule type="cellIs" dxfId="1103" priority="2300" stopIfTrue="1" operator="equal">
      <formula>"INPUT STARTER IN COLUMN D"</formula>
    </cfRule>
  </conditionalFormatting>
  <conditionalFormatting sqref="P92">
    <cfRule type="cellIs" dxfId="1102" priority="2299" stopIfTrue="1" operator="equal">
      <formula>"INPUT STARTER IN COLUMN D"</formula>
    </cfRule>
  </conditionalFormatting>
  <conditionalFormatting sqref="P93">
    <cfRule type="cellIs" dxfId="1101" priority="2298" stopIfTrue="1" operator="equal">
      <formula>"INPUT STARTER IN COLUMN D"</formula>
    </cfRule>
  </conditionalFormatting>
  <conditionalFormatting sqref="P94">
    <cfRule type="cellIs" dxfId="1100" priority="2297" stopIfTrue="1" operator="equal">
      <formula>"INPUT STARTER IN COLUMN D"</formula>
    </cfRule>
  </conditionalFormatting>
  <conditionalFormatting sqref="P95">
    <cfRule type="cellIs" dxfId="1099" priority="2296" stopIfTrue="1" operator="equal">
      <formula>"INPUT STARTER IN COLUMN D"</formula>
    </cfRule>
  </conditionalFormatting>
  <conditionalFormatting sqref="P96">
    <cfRule type="cellIs" dxfId="1098" priority="2295" stopIfTrue="1" operator="equal">
      <formula>"INPUT STARTER IN COLUMN D"</formula>
    </cfRule>
  </conditionalFormatting>
  <conditionalFormatting sqref="P97">
    <cfRule type="cellIs" dxfId="1097" priority="2294" stopIfTrue="1" operator="equal">
      <formula>"INPUT STARTER IN COLUMN D"</formula>
    </cfRule>
  </conditionalFormatting>
  <conditionalFormatting sqref="P98">
    <cfRule type="cellIs" dxfId="1096" priority="2293" stopIfTrue="1" operator="equal">
      <formula>"INPUT STARTER IN COLUMN D"</formula>
    </cfRule>
  </conditionalFormatting>
  <conditionalFormatting sqref="P99">
    <cfRule type="cellIs" dxfId="1095" priority="2292" stopIfTrue="1" operator="equal">
      <formula>"INPUT STARTER IN COLUMN D"</formula>
    </cfRule>
  </conditionalFormatting>
  <conditionalFormatting sqref="P100">
    <cfRule type="cellIs" dxfId="1094" priority="2291" stopIfTrue="1" operator="equal">
      <formula>"INPUT STARTER IN COLUMN D"</formula>
    </cfRule>
  </conditionalFormatting>
  <conditionalFormatting sqref="P101">
    <cfRule type="cellIs" dxfId="1093" priority="2290" stopIfTrue="1" operator="equal">
      <formula>"INPUT STARTER IN COLUMN D"</formula>
    </cfRule>
  </conditionalFormatting>
  <conditionalFormatting sqref="P102">
    <cfRule type="cellIs" dxfId="1092" priority="2289" stopIfTrue="1" operator="equal">
      <formula>"INPUT STARTER IN COLUMN D"</formula>
    </cfRule>
  </conditionalFormatting>
  <conditionalFormatting sqref="P106">
    <cfRule type="cellIs" dxfId="1091" priority="2288" stopIfTrue="1" operator="equal">
      <formula>"INPUT STARTER IN COLUMN D"</formula>
    </cfRule>
  </conditionalFormatting>
  <conditionalFormatting sqref="P107">
    <cfRule type="cellIs" dxfId="1090" priority="2287" stopIfTrue="1" operator="equal">
      <formula>"INPUT STARTER IN COLUMN D"</formula>
    </cfRule>
  </conditionalFormatting>
  <conditionalFormatting sqref="P108">
    <cfRule type="cellIs" dxfId="1089" priority="2286" stopIfTrue="1" operator="equal">
      <formula>"INPUT STARTER IN COLUMN D"</formula>
    </cfRule>
  </conditionalFormatting>
  <conditionalFormatting sqref="P109">
    <cfRule type="cellIs" dxfId="1088" priority="2285" stopIfTrue="1" operator="equal">
      <formula>"INPUT STARTER IN COLUMN D"</formula>
    </cfRule>
  </conditionalFormatting>
  <conditionalFormatting sqref="P110">
    <cfRule type="cellIs" dxfId="1087" priority="2284" stopIfTrue="1" operator="equal">
      <formula>"INPUT STARTER IN COLUMN D"</formula>
    </cfRule>
  </conditionalFormatting>
  <conditionalFormatting sqref="P111">
    <cfRule type="cellIs" dxfId="1086" priority="2283" stopIfTrue="1" operator="equal">
      <formula>"INPUT STARTER IN COLUMN D"</formula>
    </cfRule>
  </conditionalFormatting>
  <conditionalFormatting sqref="P112">
    <cfRule type="cellIs" dxfId="1085" priority="2282" stopIfTrue="1" operator="equal">
      <formula>"INPUT STARTER IN COLUMN D"</formula>
    </cfRule>
  </conditionalFormatting>
  <conditionalFormatting sqref="P113">
    <cfRule type="cellIs" dxfId="1084" priority="2281" stopIfTrue="1" operator="equal">
      <formula>"INPUT STARTER IN COLUMN D"</formula>
    </cfRule>
  </conditionalFormatting>
  <conditionalFormatting sqref="P114">
    <cfRule type="cellIs" dxfId="1083" priority="2280" stopIfTrue="1" operator="equal">
      <formula>"INPUT STARTER IN COLUMN D"</formula>
    </cfRule>
  </conditionalFormatting>
  <conditionalFormatting sqref="P115">
    <cfRule type="cellIs" dxfId="1082" priority="2279" stopIfTrue="1" operator="equal">
      <formula>"INPUT STARTER IN COLUMN D"</formula>
    </cfRule>
  </conditionalFormatting>
  <conditionalFormatting sqref="P116">
    <cfRule type="cellIs" dxfId="1081" priority="2278" stopIfTrue="1" operator="equal">
      <formula>"INPUT STARTER IN COLUMN D"</formula>
    </cfRule>
  </conditionalFormatting>
  <conditionalFormatting sqref="P117">
    <cfRule type="cellIs" dxfId="1080" priority="2277" stopIfTrue="1" operator="equal">
      <formula>"INPUT STARTER IN COLUMN D"</formula>
    </cfRule>
  </conditionalFormatting>
  <conditionalFormatting sqref="P118">
    <cfRule type="cellIs" dxfId="1079" priority="2276" stopIfTrue="1" operator="equal">
      <formula>"INPUT STARTER IN COLUMN D"</formula>
    </cfRule>
  </conditionalFormatting>
  <conditionalFormatting sqref="P119">
    <cfRule type="cellIs" dxfId="1078" priority="2275" stopIfTrue="1" operator="equal">
      <formula>"INPUT STARTER IN COLUMN D"</formula>
    </cfRule>
  </conditionalFormatting>
  <conditionalFormatting sqref="P120">
    <cfRule type="cellIs" dxfId="1077" priority="2274" stopIfTrue="1" operator="equal">
      <formula>"INPUT STARTER IN COLUMN D"</formula>
    </cfRule>
  </conditionalFormatting>
  <conditionalFormatting sqref="P121">
    <cfRule type="cellIs" dxfId="1076" priority="2273" stopIfTrue="1" operator="equal">
      <formula>"INPUT STARTER IN COLUMN D"</formula>
    </cfRule>
  </conditionalFormatting>
  <conditionalFormatting sqref="P122">
    <cfRule type="cellIs" dxfId="1075" priority="2272" stopIfTrue="1" operator="equal">
      <formula>"INPUT STARTER IN COLUMN D"</formula>
    </cfRule>
  </conditionalFormatting>
  <conditionalFormatting sqref="P123">
    <cfRule type="cellIs" dxfId="1074" priority="2271" stopIfTrue="1" operator="equal">
      <formula>"INPUT STARTER IN COLUMN D"</formula>
    </cfRule>
  </conditionalFormatting>
  <conditionalFormatting sqref="P125">
    <cfRule type="cellIs" dxfId="1073" priority="2270" stopIfTrue="1" operator="equal">
      <formula>"INPUT STARTER IN COLUMN D"</formula>
    </cfRule>
  </conditionalFormatting>
  <conditionalFormatting sqref="P126">
    <cfRule type="cellIs" dxfId="1072" priority="2269" stopIfTrue="1" operator="equal">
      <formula>"INPUT STARTER IN COLUMN D"</formula>
    </cfRule>
  </conditionalFormatting>
  <conditionalFormatting sqref="P127">
    <cfRule type="cellIs" dxfId="1071" priority="2268" stopIfTrue="1" operator="equal">
      <formula>"INPUT STARTER IN COLUMN D"</formula>
    </cfRule>
  </conditionalFormatting>
  <conditionalFormatting sqref="P128">
    <cfRule type="cellIs" dxfId="1070" priority="2267" stopIfTrue="1" operator="equal">
      <formula>"INPUT STARTER IN COLUMN D"</formula>
    </cfRule>
  </conditionalFormatting>
  <conditionalFormatting sqref="P129">
    <cfRule type="cellIs" dxfId="1069" priority="2266" stopIfTrue="1" operator="equal">
      <formula>"INPUT STARTER IN COLUMN D"</formula>
    </cfRule>
  </conditionalFormatting>
  <conditionalFormatting sqref="P130">
    <cfRule type="cellIs" dxfId="1068" priority="2265" stopIfTrue="1" operator="equal">
      <formula>"INPUT STARTER IN COLUMN D"</formula>
    </cfRule>
  </conditionalFormatting>
  <conditionalFormatting sqref="P131">
    <cfRule type="cellIs" dxfId="1067" priority="2264" stopIfTrue="1" operator="equal">
      <formula>"INPUT STARTER IN COLUMN D"</formula>
    </cfRule>
  </conditionalFormatting>
  <conditionalFormatting sqref="P132">
    <cfRule type="cellIs" dxfId="1066" priority="2263" stopIfTrue="1" operator="equal">
      <formula>"INPUT STARTER IN COLUMN D"</formula>
    </cfRule>
  </conditionalFormatting>
  <conditionalFormatting sqref="P133">
    <cfRule type="cellIs" dxfId="1065" priority="2262" stopIfTrue="1" operator="equal">
      <formula>"INPUT STARTER IN COLUMN D"</formula>
    </cfRule>
  </conditionalFormatting>
  <conditionalFormatting sqref="P134">
    <cfRule type="cellIs" dxfId="1064" priority="2261" stopIfTrue="1" operator="equal">
      <formula>"INPUT STARTER IN COLUMN D"</formula>
    </cfRule>
  </conditionalFormatting>
  <conditionalFormatting sqref="P135">
    <cfRule type="cellIs" dxfId="1063" priority="2260" stopIfTrue="1" operator="equal">
      <formula>"INPUT STARTER IN COLUMN D"</formula>
    </cfRule>
  </conditionalFormatting>
  <conditionalFormatting sqref="P136">
    <cfRule type="cellIs" dxfId="1062" priority="2259" stopIfTrue="1" operator="equal">
      <formula>"INPUT STARTER IN COLUMN D"</formula>
    </cfRule>
  </conditionalFormatting>
  <conditionalFormatting sqref="P137">
    <cfRule type="cellIs" dxfId="1061" priority="2258" stopIfTrue="1" operator="equal">
      <formula>"INPUT STARTER IN COLUMN D"</formula>
    </cfRule>
  </conditionalFormatting>
  <conditionalFormatting sqref="P139">
    <cfRule type="cellIs" dxfId="1060" priority="2257" stopIfTrue="1" operator="equal">
      <formula>"INPUT STARTER IN COLUMN D"</formula>
    </cfRule>
  </conditionalFormatting>
  <conditionalFormatting sqref="P140">
    <cfRule type="cellIs" dxfId="1059" priority="2256" stopIfTrue="1" operator="equal">
      <formula>"INPUT STARTER IN COLUMN D"</formula>
    </cfRule>
  </conditionalFormatting>
  <conditionalFormatting sqref="P141">
    <cfRule type="cellIs" dxfId="1058" priority="2255" stopIfTrue="1" operator="equal">
      <formula>"INPUT STARTER IN COLUMN D"</formula>
    </cfRule>
  </conditionalFormatting>
  <conditionalFormatting sqref="P142">
    <cfRule type="cellIs" dxfId="1057" priority="2254" stopIfTrue="1" operator="equal">
      <formula>"INPUT STARTER IN COLUMN D"</formula>
    </cfRule>
  </conditionalFormatting>
  <conditionalFormatting sqref="P143">
    <cfRule type="cellIs" dxfId="1056" priority="2253" stopIfTrue="1" operator="equal">
      <formula>"INPUT STARTER IN COLUMN D"</formula>
    </cfRule>
  </conditionalFormatting>
  <conditionalFormatting sqref="P144">
    <cfRule type="cellIs" dxfId="1055" priority="2252" stopIfTrue="1" operator="equal">
      <formula>"INPUT STARTER IN COLUMN D"</formula>
    </cfRule>
  </conditionalFormatting>
  <conditionalFormatting sqref="P145">
    <cfRule type="cellIs" dxfId="1054" priority="2251" stopIfTrue="1" operator="equal">
      <formula>"INPUT STARTER IN COLUMN D"</formula>
    </cfRule>
  </conditionalFormatting>
  <conditionalFormatting sqref="P146">
    <cfRule type="cellIs" dxfId="1053" priority="2250" stopIfTrue="1" operator="equal">
      <formula>"INPUT STARTER IN COLUMN D"</formula>
    </cfRule>
  </conditionalFormatting>
  <conditionalFormatting sqref="P147">
    <cfRule type="cellIs" dxfId="1052" priority="2249" stopIfTrue="1" operator="equal">
      <formula>"INPUT STARTER IN COLUMN D"</formula>
    </cfRule>
  </conditionalFormatting>
  <conditionalFormatting sqref="P148">
    <cfRule type="cellIs" dxfId="1051" priority="2248" stopIfTrue="1" operator="equal">
      <formula>"INPUT STARTER IN COLUMN D"</formula>
    </cfRule>
  </conditionalFormatting>
  <conditionalFormatting sqref="P149">
    <cfRule type="cellIs" dxfId="1050" priority="2247" stopIfTrue="1" operator="equal">
      <formula>"INPUT STARTER IN COLUMN D"</formula>
    </cfRule>
  </conditionalFormatting>
  <conditionalFormatting sqref="P150">
    <cfRule type="cellIs" dxfId="1049" priority="2246" stopIfTrue="1" operator="equal">
      <formula>"INPUT STARTER IN COLUMN D"</formula>
    </cfRule>
  </conditionalFormatting>
  <conditionalFormatting sqref="P151">
    <cfRule type="cellIs" dxfId="1048" priority="2245" stopIfTrue="1" operator="equal">
      <formula>"INPUT STARTER IN COLUMN D"</formula>
    </cfRule>
  </conditionalFormatting>
  <conditionalFormatting sqref="P152">
    <cfRule type="cellIs" dxfId="1047" priority="2244" stopIfTrue="1" operator="equal">
      <formula>"INPUT STARTER IN COLUMN D"</formula>
    </cfRule>
  </conditionalFormatting>
  <conditionalFormatting sqref="P153">
    <cfRule type="cellIs" dxfId="1046" priority="2243" stopIfTrue="1" operator="equal">
      <formula>"INPUT STARTER IN COLUMN D"</formula>
    </cfRule>
  </conditionalFormatting>
  <conditionalFormatting sqref="P154">
    <cfRule type="cellIs" dxfId="1045" priority="2242" stopIfTrue="1" operator="equal">
      <formula>"INPUT STARTER IN COLUMN D"</formula>
    </cfRule>
  </conditionalFormatting>
  <conditionalFormatting sqref="P155">
    <cfRule type="cellIs" dxfId="1044" priority="2241" stopIfTrue="1" operator="equal">
      <formula>"INPUT STARTER IN COLUMN D"</formula>
    </cfRule>
  </conditionalFormatting>
  <conditionalFormatting sqref="P157">
    <cfRule type="cellIs" dxfId="1043" priority="2240" stopIfTrue="1" operator="equal">
      <formula>"INPUT STARTER IN COLUMN D"</formula>
    </cfRule>
  </conditionalFormatting>
  <conditionalFormatting sqref="P158">
    <cfRule type="cellIs" dxfId="1042" priority="2239" stopIfTrue="1" operator="equal">
      <formula>"INPUT STARTER IN COLUMN D"</formula>
    </cfRule>
  </conditionalFormatting>
  <conditionalFormatting sqref="P159">
    <cfRule type="cellIs" dxfId="1041" priority="2238" stopIfTrue="1" operator="equal">
      <formula>"INPUT STARTER IN COLUMN D"</formula>
    </cfRule>
  </conditionalFormatting>
  <conditionalFormatting sqref="P160">
    <cfRule type="cellIs" dxfId="1040" priority="2237" stopIfTrue="1" operator="equal">
      <formula>"INPUT STARTER IN COLUMN D"</formula>
    </cfRule>
  </conditionalFormatting>
  <conditionalFormatting sqref="P161">
    <cfRule type="cellIs" dxfId="1039" priority="2236" stopIfTrue="1" operator="equal">
      <formula>"INPUT STARTER IN COLUMN D"</formula>
    </cfRule>
  </conditionalFormatting>
  <conditionalFormatting sqref="P162">
    <cfRule type="cellIs" dxfId="1038" priority="2235" stopIfTrue="1" operator="equal">
      <formula>"INPUT STARTER IN COLUMN D"</formula>
    </cfRule>
  </conditionalFormatting>
  <conditionalFormatting sqref="P163">
    <cfRule type="cellIs" dxfId="1037" priority="2234" stopIfTrue="1" operator="equal">
      <formula>"INPUT STARTER IN COLUMN D"</formula>
    </cfRule>
  </conditionalFormatting>
  <conditionalFormatting sqref="P165">
    <cfRule type="cellIs" dxfId="1036" priority="2233" stopIfTrue="1" operator="equal">
      <formula>"INPUT STARTER IN COLUMN D"</formula>
    </cfRule>
  </conditionalFormatting>
  <conditionalFormatting sqref="P166">
    <cfRule type="cellIs" dxfId="1035" priority="2232" stopIfTrue="1" operator="equal">
      <formula>"INPUT STARTER IN COLUMN D"</formula>
    </cfRule>
  </conditionalFormatting>
  <conditionalFormatting sqref="P167">
    <cfRule type="cellIs" dxfId="1034" priority="2231" stopIfTrue="1" operator="equal">
      <formula>"INPUT STARTER IN COLUMN D"</formula>
    </cfRule>
  </conditionalFormatting>
  <conditionalFormatting sqref="P168">
    <cfRule type="cellIs" dxfId="1033" priority="2230" stopIfTrue="1" operator="equal">
      <formula>"INPUT STARTER IN COLUMN D"</formula>
    </cfRule>
  </conditionalFormatting>
  <conditionalFormatting sqref="P169">
    <cfRule type="cellIs" dxfId="1032" priority="2229" stopIfTrue="1" operator="equal">
      <formula>"INPUT STARTER IN COLUMN D"</formula>
    </cfRule>
  </conditionalFormatting>
  <conditionalFormatting sqref="P170">
    <cfRule type="cellIs" dxfId="1031" priority="2228" stopIfTrue="1" operator="equal">
      <formula>"INPUT STARTER IN COLUMN D"</formula>
    </cfRule>
  </conditionalFormatting>
  <conditionalFormatting sqref="P171">
    <cfRule type="cellIs" dxfId="1030" priority="2227" stopIfTrue="1" operator="equal">
      <formula>"INPUT STARTER IN COLUMN D"</formula>
    </cfRule>
  </conditionalFormatting>
  <conditionalFormatting sqref="P172">
    <cfRule type="cellIs" dxfId="1029" priority="2226" stopIfTrue="1" operator="equal">
      <formula>"INPUT STARTER IN COLUMN D"</formula>
    </cfRule>
  </conditionalFormatting>
  <conditionalFormatting sqref="P173">
    <cfRule type="cellIs" dxfId="1028" priority="2225" stopIfTrue="1" operator="equal">
      <formula>"INPUT STARTER IN COLUMN D"</formula>
    </cfRule>
  </conditionalFormatting>
  <conditionalFormatting sqref="P174">
    <cfRule type="cellIs" dxfId="1027" priority="2224" stopIfTrue="1" operator="equal">
      <formula>"INPUT STARTER IN COLUMN D"</formula>
    </cfRule>
  </conditionalFormatting>
  <conditionalFormatting sqref="P176">
    <cfRule type="cellIs" dxfId="1026" priority="2223" stopIfTrue="1" operator="equal">
      <formula>"INPUT STARTER IN COLUMN D"</formula>
    </cfRule>
  </conditionalFormatting>
  <conditionalFormatting sqref="P177">
    <cfRule type="cellIs" dxfId="1025" priority="2222" stopIfTrue="1" operator="equal">
      <formula>"INPUT STARTER IN COLUMN D"</formula>
    </cfRule>
  </conditionalFormatting>
  <conditionalFormatting sqref="P178">
    <cfRule type="cellIs" dxfId="1024" priority="2221" stopIfTrue="1" operator="equal">
      <formula>"INPUT STARTER IN COLUMN D"</formula>
    </cfRule>
  </conditionalFormatting>
  <conditionalFormatting sqref="P179">
    <cfRule type="cellIs" dxfId="1023" priority="2220" stopIfTrue="1" operator="equal">
      <formula>"INPUT STARTER IN COLUMN D"</formula>
    </cfRule>
  </conditionalFormatting>
  <conditionalFormatting sqref="P180">
    <cfRule type="cellIs" dxfId="1022" priority="2219" stopIfTrue="1" operator="equal">
      <formula>"INPUT STARTER IN COLUMN D"</formula>
    </cfRule>
  </conditionalFormatting>
  <conditionalFormatting sqref="P181">
    <cfRule type="cellIs" dxfId="1021" priority="2218" stopIfTrue="1" operator="equal">
      <formula>"INPUT STARTER IN COLUMN D"</formula>
    </cfRule>
  </conditionalFormatting>
  <conditionalFormatting sqref="P182">
    <cfRule type="cellIs" dxfId="1020" priority="2217" stopIfTrue="1" operator="equal">
      <formula>"INPUT STARTER IN COLUMN D"</formula>
    </cfRule>
  </conditionalFormatting>
  <conditionalFormatting sqref="P183">
    <cfRule type="cellIs" dxfId="1019" priority="2216" stopIfTrue="1" operator="equal">
      <formula>"INPUT STARTER IN COLUMN D"</formula>
    </cfRule>
  </conditionalFormatting>
  <conditionalFormatting sqref="P184">
    <cfRule type="cellIs" dxfId="1018" priority="2215" stopIfTrue="1" operator="equal">
      <formula>"INPUT STARTER IN COLUMN D"</formula>
    </cfRule>
  </conditionalFormatting>
  <conditionalFormatting sqref="P185">
    <cfRule type="cellIs" dxfId="1017" priority="2214" stopIfTrue="1" operator="equal">
      <formula>"INPUT STARTER IN COLUMN D"</formula>
    </cfRule>
  </conditionalFormatting>
  <conditionalFormatting sqref="AK3:AK22">
    <cfRule type="cellIs" dxfId="1016" priority="2213" stopIfTrue="1" operator="equal">
      <formula>"must average at least 5 innings per start"</formula>
    </cfRule>
  </conditionalFormatting>
  <conditionalFormatting sqref="AK23">
    <cfRule type="cellIs" dxfId="1015" priority="2212" stopIfTrue="1" operator="equal">
      <formula>"must have 162 starts"</formula>
    </cfRule>
  </conditionalFormatting>
  <conditionalFormatting sqref="AK3:AK22">
    <cfRule type="cellIs" dxfId="1014" priority="2211" stopIfTrue="1" operator="equal">
      <formula>"must average at least 5 innings per start"</formula>
    </cfRule>
  </conditionalFormatting>
  <conditionalFormatting sqref="AK23">
    <cfRule type="cellIs" dxfId="1013" priority="2210" stopIfTrue="1" operator="equal">
      <formula>"must have 162 starts"</formula>
    </cfRule>
  </conditionalFormatting>
  <conditionalFormatting sqref="AK3:AK22">
    <cfRule type="cellIs" dxfId="1012" priority="2209" stopIfTrue="1" operator="equal">
      <formula>"must average at least 5 innings per start"</formula>
    </cfRule>
  </conditionalFormatting>
  <conditionalFormatting sqref="AK23">
    <cfRule type="cellIs" dxfId="1011" priority="2208" stopIfTrue="1" operator="equal">
      <formula>"must have 162 starts"</formula>
    </cfRule>
  </conditionalFormatting>
  <conditionalFormatting sqref="AK3:AK22">
    <cfRule type="cellIs" dxfId="1010" priority="2207" stopIfTrue="1" operator="equal">
      <formula>"must average at least 5 innings per start"</formula>
    </cfRule>
  </conditionalFormatting>
  <conditionalFormatting sqref="AK23">
    <cfRule type="cellIs" dxfId="1009" priority="2206" stopIfTrue="1" operator="equal">
      <formula>"must have 162 starts"</formula>
    </cfRule>
  </conditionalFormatting>
  <conditionalFormatting sqref="AK3:AK22">
    <cfRule type="cellIs" dxfId="1008" priority="2205" stopIfTrue="1" operator="equal">
      <formula>"must average at least 5 innings per start"</formula>
    </cfRule>
  </conditionalFormatting>
  <conditionalFormatting sqref="AK23">
    <cfRule type="cellIs" dxfId="1007" priority="2204" stopIfTrue="1" operator="equal">
      <formula>"must have 162 starts"</formula>
    </cfRule>
  </conditionalFormatting>
  <conditionalFormatting sqref="AK3:AK22">
    <cfRule type="cellIs" dxfId="1006" priority="2203" stopIfTrue="1" operator="equal">
      <formula>"must average at least 5 innings per start"</formula>
    </cfRule>
  </conditionalFormatting>
  <conditionalFormatting sqref="AK23">
    <cfRule type="cellIs" dxfId="1005" priority="2202" stopIfTrue="1" operator="equal">
      <formula>"must have 162 starts"</formula>
    </cfRule>
  </conditionalFormatting>
  <conditionalFormatting sqref="AK3:AK22">
    <cfRule type="cellIs" dxfId="1004" priority="2201" stopIfTrue="1" operator="equal">
      <formula>"must average at least 5 innings per start"</formula>
    </cfRule>
  </conditionalFormatting>
  <conditionalFormatting sqref="AK23">
    <cfRule type="cellIs" dxfId="1003" priority="2200" stopIfTrue="1" operator="equal">
      <formula>"must have 162 starts"</formula>
    </cfRule>
  </conditionalFormatting>
  <conditionalFormatting sqref="AG3:AG22">
    <cfRule type="cellIs" dxfId="1002" priority="2199" stopIfTrue="1" operator="equal">
      <formula>"must average at least 5 innings per start"</formula>
    </cfRule>
  </conditionalFormatting>
  <conditionalFormatting sqref="AG23">
    <cfRule type="cellIs" dxfId="1001" priority="2198" stopIfTrue="1" operator="equal">
      <formula>"must have 162 starts"</formula>
    </cfRule>
  </conditionalFormatting>
  <conditionalFormatting sqref="AK3:AK22">
    <cfRule type="cellIs" dxfId="1000" priority="2197" stopIfTrue="1" operator="equal">
      <formula>"must average at least 5 innings per start"</formula>
    </cfRule>
  </conditionalFormatting>
  <conditionalFormatting sqref="AK23">
    <cfRule type="cellIs" dxfId="999" priority="2196" stopIfTrue="1" operator="equal">
      <formula>"must have 162 starts"</formula>
    </cfRule>
  </conditionalFormatting>
  <conditionalFormatting sqref="AK3:AK22">
    <cfRule type="cellIs" dxfId="998" priority="2195" stopIfTrue="1" operator="equal">
      <formula>"must average at least 5 innings per start"</formula>
    </cfRule>
  </conditionalFormatting>
  <conditionalFormatting sqref="AK23">
    <cfRule type="cellIs" dxfId="997" priority="2194" stopIfTrue="1" operator="equal">
      <formula>"must have 162 starts"</formula>
    </cfRule>
  </conditionalFormatting>
  <conditionalFormatting sqref="AK3:AK22">
    <cfRule type="cellIs" dxfId="996" priority="2193" stopIfTrue="1" operator="equal">
      <formula>"must average at least 5 innings per start"</formula>
    </cfRule>
  </conditionalFormatting>
  <conditionalFormatting sqref="AK23">
    <cfRule type="cellIs" dxfId="995" priority="2192" stopIfTrue="1" operator="equal">
      <formula>"must have 162 starts"</formula>
    </cfRule>
  </conditionalFormatting>
  <conditionalFormatting sqref="AK3:AK22">
    <cfRule type="cellIs" dxfId="994" priority="2191" stopIfTrue="1" operator="equal">
      <formula>"must average at least 5 innings per start"</formula>
    </cfRule>
  </conditionalFormatting>
  <conditionalFormatting sqref="AK23">
    <cfRule type="cellIs" dxfId="993" priority="2190" stopIfTrue="1" operator="equal">
      <formula>"must have 162 starts"</formula>
    </cfRule>
  </conditionalFormatting>
  <conditionalFormatting sqref="AK3:AK22">
    <cfRule type="cellIs" dxfId="992" priority="2189" stopIfTrue="1" operator="equal">
      <formula>"must average at least 5 innings per start"</formula>
    </cfRule>
  </conditionalFormatting>
  <conditionalFormatting sqref="AK23">
    <cfRule type="cellIs" dxfId="991" priority="2188" stopIfTrue="1" operator="equal">
      <formula>"must have 162 starts"</formula>
    </cfRule>
  </conditionalFormatting>
  <conditionalFormatting sqref="AK3:AK22">
    <cfRule type="cellIs" dxfId="990" priority="2187" stopIfTrue="1" operator="equal">
      <formula>"must average at least 5 innings per start"</formula>
    </cfRule>
  </conditionalFormatting>
  <conditionalFormatting sqref="AK23">
    <cfRule type="cellIs" dxfId="989" priority="2186" stopIfTrue="1" operator="equal">
      <formula>"must have 162 starts"</formula>
    </cfRule>
  </conditionalFormatting>
  <conditionalFormatting sqref="AG3:AG22">
    <cfRule type="cellIs" dxfId="988" priority="2185" stopIfTrue="1" operator="equal">
      <formula>"must average at least 5 innings per start"</formula>
    </cfRule>
  </conditionalFormatting>
  <conditionalFormatting sqref="AG23">
    <cfRule type="cellIs" dxfId="987" priority="2184" stopIfTrue="1" operator="equal">
      <formula>"must have 162 starts"</formula>
    </cfRule>
  </conditionalFormatting>
  <conditionalFormatting sqref="AK3:AK22">
    <cfRule type="cellIs" dxfId="986" priority="2183" stopIfTrue="1" operator="equal">
      <formula>"must average at least 5 innings per start"</formula>
    </cfRule>
  </conditionalFormatting>
  <conditionalFormatting sqref="AK23">
    <cfRule type="cellIs" dxfId="985" priority="2182" stopIfTrue="1" operator="equal">
      <formula>"must have 162 starts"</formula>
    </cfRule>
  </conditionalFormatting>
  <conditionalFormatting sqref="AK3:AK22">
    <cfRule type="cellIs" dxfId="984" priority="2181" stopIfTrue="1" operator="equal">
      <formula>"must average at least 5 innings per start"</formula>
    </cfRule>
  </conditionalFormatting>
  <conditionalFormatting sqref="AK23">
    <cfRule type="cellIs" dxfId="983" priority="2180" stopIfTrue="1" operator="equal">
      <formula>"must have 162 starts"</formula>
    </cfRule>
  </conditionalFormatting>
  <conditionalFormatting sqref="AK3:AK22">
    <cfRule type="cellIs" dxfId="982" priority="2179" stopIfTrue="1" operator="equal">
      <formula>"must average at least 5 innings per start"</formula>
    </cfRule>
  </conditionalFormatting>
  <conditionalFormatting sqref="AK23">
    <cfRule type="cellIs" dxfId="981" priority="2178" stopIfTrue="1" operator="equal">
      <formula>"must have 162 starts"</formula>
    </cfRule>
  </conditionalFormatting>
  <conditionalFormatting sqref="AK3:AK22">
    <cfRule type="cellIs" dxfId="980" priority="2177" stopIfTrue="1" operator="equal">
      <formula>"must average at least 5 innings per start"</formula>
    </cfRule>
  </conditionalFormatting>
  <conditionalFormatting sqref="AK23">
    <cfRule type="cellIs" dxfId="979" priority="2176" stopIfTrue="1" operator="equal">
      <formula>"must have 162 starts"</formula>
    </cfRule>
  </conditionalFormatting>
  <conditionalFormatting sqref="AK3:AK22">
    <cfRule type="cellIs" dxfId="978" priority="2175" stopIfTrue="1" operator="equal">
      <formula>"must average at least 5 innings per start"</formula>
    </cfRule>
  </conditionalFormatting>
  <conditionalFormatting sqref="AK23">
    <cfRule type="cellIs" dxfId="977" priority="2174" stopIfTrue="1" operator="equal">
      <formula>"must have 162 starts"</formula>
    </cfRule>
  </conditionalFormatting>
  <conditionalFormatting sqref="AG3:AG22">
    <cfRule type="cellIs" dxfId="976" priority="2173" stopIfTrue="1" operator="equal">
      <formula>"must average at least 5 innings per start"</formula>
    </cfRule>
  </conditionalFormatting>
  <conditionalFormatting sqref="AG23">
    <cfRule type="cellIs" dxfId="975" priority="2172" stopIfTrue="1" operator="equal">
      <formula>"must have 162 starts"</formula>
    </cfRule>
  </conditionalFormatting>
  <conditionalFormatting sqref="AK3:AK22">
    <cfRule type="cellIs" dxfId="974" priority="2171" stopIfTrue="1" operator="equal">
      <formula>"must average at least 5 innings per start"</formula>
    </cfRule>
  </conditionalFormatting>
  <conditionalFormatting sqref="AK23">
    <cfRule type="cellIs" dxfId="973" priority="2170" stopIfTrue="1" operator="equal">
      <formula>"must have 162 starts"</formula>
    </cfRule>
  </conditionalFormatting>
  <conditionalFormatting sqref="AK3:AK22">
    <cfRule type="cellIs" dxfId="972" priority="2169" stopIfTrue="1" operator="equal">
      <formula>"must average at least 5 innings per start"</formula>
    </cfRule>
  </conditionalFormatting>
  <conditionalFormatting sqref="AK23">
    <cfRule type="cellIs" dxfId="971" priority="2168" stopIfTrue="1" operator="equal">
      <formula>"must have 162 starts"</formula>
    </cfRule>
  </conditionalFormatting>
  <conditionalFormatting sqref="AK3:AK22">
    <cfRule type="cellIs" dxfId="970" priority="2167" stopIfTrue="1" operator="equal">
      <formula>"must average at least 5 innings per start"</formula>
    </cfRule>
  </conditionalFormatting>
  <conditionalFormatting sqref="AK23">
    <cfRule type="cellIs" dxfId="969" priority="2166" stopIfTrue="1" operator="equal">
      <formula>"must have 162 starts"</formula>
    </cfRule>
  </conditionalFormatting>
  <conditionalFormatting sqref="AK3:AK22">
    <cfRule type="cellIs" dxfId="968" priority="2165" stopIfTrue="1" operator="equal">
      <formula>"must average at least 5 innings per start"</formula>
    </cfRule>
  </conditionalFormatting>
  <conditionalFormatting sqref="AK23">
    <cfRule type="cellIs" dxfId="967" priority="2164" stopIfTrue="1" operator="equal">
      <formula>"must have 162 starts"</formula>
    </cfRule>
  </conditionalFormatting>
  <conditionalFormatting sqref="AG3:AG22">
    <cfRule type="cellIs" dxfId="966" priority="2163" stopIfTrue="1" operator="equal">
      <formula>"must average at least 5 innings per start"</formula>
    </cfRule>
  </conditionalFormatting>
  <conditionalFormatting sqref="AG23">
    <cfRule type="cellIs" dxfId="965" priority="2162" stopIfTrue="1" operator="equal">
      <formula>"must have 162 starts"</formula>
    </cfRule>
  </conditionalFormatting>
  <conditionalFormatting sqref="AK3:AK22">
    <cfRule type="cellIs" dxfId="964" priority="2161" stopIfTrue="1" operator="equal">
      <formula>"must average at least 5 innings per start"</formula>
    </cfRule>
  </conditionalFormatting>
  <conditionalFormatting sqref="AK23">
    <cfRule type="cellIs" dxfId="963" priority="2160" stopIfTrue="1" operator="equal">
      <formula>"must have 162 starts"</formula>
    </cfRule>
  </conditionalFormatting>
  <conditionalFormatting sqref="AK3:AK22">
    <cfRule type="cellIs" dxfId="962" priority="2159" stopIfTrue="1" operator="equal">
      <formula>"must average at least 5 innings per start"</formula>
    </cfRule>
  </conditionalFormatting>
  <conditionalFormatting sqref="AK23">
    <cfRule type="cellIs" dxfId="961" priority="2158" stopIfTrue="1" operator="equal">
      <formula>"must have 162 starts"</formula>
    </cfRule>
  </conditionalFormatting>
  <conditionalFormatting sqref="AK3:AK22">
    <cfRule type="cellIs" dxfId="960" priority="2157" stopIfTrue="1" operator="equal">
      <formula>"must average at least 5 innings per start"</formula>
    </cfRule>
  </conditionalFormatting>
  <conditionalFormatting sqref="AK23">
    <cfRule type="cellIs" dxfId="959" priority="2156" stopIfTrue="1" operator="equal">
      <formula>"must have 162 starts"</formula>
    </cfRule>
  </conditionalFormatting>
  <conditionalFormatting sqref="AG3:AG22">
    <cfRule type="cellIs" dxfId="958" priority="2155" stopIfTrue="1" operator="equal">
      <formula>"must average at least 5 innings per start"</formula>
    </cfRule>
  </conditionalFormatting>
  <conditionalFormatting sqref="AG23">
    <cfRule type="cellIs" dxfId="957" priority="2154" stopIfTrue="1" operator="equal">
      <formula>"must have 162 starts"</formula>
    </cfRule>
  </conditionalFormatting>
  <conditionalFormatting sqref="AK3:AK22">
    <cfRule type="cellIs" dxfId="956" priority="2153" stopIfTrue="1" operator="equal">
      <formula>"must average at least 5 innings per start"</formula>
    </cfRule>
  </conditionalFormatting>
  <conditionalFormatting sqref="AK23">
    <cfRule type="cellIs" dxfId="955" priority="2152" stopIfTrue="1" operator="equal">
      <formula>"must have 162 starts"</formula>
    </cfRule>
  </conditionalFormatting>
  <conditionalFormatting sqref="AG3:AG22">
    <cfRule type="cellIs" dxfId="954" priority="2151" stopIfTrue="1" operator="equal">
      <formula>"must average at least 5 innings per start"</formula>
    </cfRule>
  </conditionalFormatting>
  <conditionalFormatting sqref="AG23">
    <cfRule type="cellIs" dxfId="953" priority="2150" stopIfTrue="1" operator="equal">
      <formula>"must have 162 starts"</formula>
    </cfRule>
  </conditionalFormatting>
  <conditionalFormatting sqref="Q2">
    <cfRule type="cellIs" dxfId="952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3891" divId="ROTcheck_23891" sourceType="sheet" destinationFile="C:\1kading\schedule\skedcot.html"/>
    <webPublishItem id="18079" divId="ROTcheck_18079" sourceType="range" sourceRef="A1:O193" destinationFile="C:\1kading\schedule\rostcot.html"/>
    <webPublishItem id="13201" divId="ROTcheck_13201" sourceType="range" sourceRef="A156:O185" destinationFile="C:\1kading\schedule\skedcot.html"/>
  </webPublishItems>
</worksheet>
</file>

<file path=xl/worksheets/sheet28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7.140625" style="15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85546875" style="5" customWidth="1"/>
    <col min="18" max="18" width="5.140625" style="10" customWidth="1"/>
    <col min="19" max="19" width="20.710937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7.8554687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46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 t="s">
        <v>32</v>
      </c>
      <c r="C3" s="76" t="s">
        <v>39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1206</v>
      </c>
      <c r="T3" s="46" t="str">
        <f>IF(ISERROR((VLOOKUP(S3,Pitchers!$B$1:H$800,4,FALSE))),"",(VLOOKUP(S3,Pitchers!$B$1:H$800,4,FALSE)))</f>
        <v>TOR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17</v>
      </c>
      <c r="X3" s="47">
        <f>IF(ISERROR((VLOOKUP(S3,Pitchers!B$2:AA$795,11,FALSE))),"",(VLOOKUP(S3,Pitchers!B$2:AA$795,11,FALSE)))</f>
        <v>27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 xml:space="preserve"> 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SUN</v>
      </c>
    </row>
    <row r="4" spans="1:36" ht="12.75">
      <c r="A4" s="6">
        <v>4.0199999999999996</v>
      </c>
      <c r="B4" s="33" t="s">
        <v>32</v>
      </c>
      <c r="C4" s="76" t="s">
        <v>39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1916</v>
      </c>
      <c r="T4" s="46" t="str">
        <f>IF(ISERROR((VLOOKUP(S4,Pitchers!$B$1:H$800,4,FALSE))),"",(VLOOKUP(S4,Pitchers!$B$1:H$800,4,FALSE)))</f>
        <v>HOU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12</v>
      </c>
      <c r="X4" s="47">
        <f>IF(ISERROR((VLOOKUP(S4,Pitchers!B$2:AA$795,11,FALSE))),"",(VLOOKUP(S4,Pitchers!B$2:AA$795,11,FALSE)))</f>
        <v>126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X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>G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SUN</v>
      </c>
    </row>
    <row r="5" spans="1:36" ht="12.75">
      <c r="A5" s="6">
        <v>4.03</v>
      </c>
      <c r="B5" s="33" t="s">
        <v>32</v>
      </c>
      <c r="C5" s="76" t="s">
        <v>39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1118</v>
      </c>
      <c r="T5" s="46" t="str">
        <f>IF(ISERROR((VLOOKUP(S5,Pitchers!$B$1:H$800,4,FALSE))),"",(VLOOKUP(S5,Pitchers!$B$1:H$800,4,FALSE)))</f>
        <v>TBR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11</v>
      </c>
      <c r="X5" s="47">
        <f>IF(ISERROR((VLOOKUP(S5,Pitchers!B$2:AA$795,11,FALSE))),"",(VLOOKUP(S5,Pitchers!B$2:AA$795,11,FALSE)))</f>
        <v>67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XY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>L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SUN</v>
      </c>
    </row>
    <row r="6" spans="1:36" ht="12.75">
      <c r="A6" s="6">
        <v>4.04</v>
      </c>
      <c r="B6" s="33" t="s">
        <v>32</v>
      </c>
      <c r="C6" s="76" t="s">
        <v>39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370</v>
      </c>
      <c r="T6" s="46" t="str">
        <f>IF(ISERROR((VLOOKUP(S6,Pitchers!$B$1:H$800,4,FALSE))),"",(VLOOKUP(S6,Pitchers!$B$1:H$800,4,FALSE)))</f>
        <v>TOT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10</v>
      </c>
      <c r="X6" s="47">
        <f>IF(ISERROR((VLOOKUP(S6,Pitchers!B$2:AA$795,11,FALSE))),"",(VLOOKUP(S6,Pitchers!B$2:AA$795,11,FALSE)))</f>
        <v>171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SUN</v>
      </c>
    </row>
    <row r="7" spans="1:36" ht="12.75">
      <c r="A7" s="6">
        <v>4.05</v>
      </c>
      <c r="B7" s="33"/>
      <c r="C7" s="76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233</v>
      </c>
      <c r="T7" s="46" t="str">
        <f>IF(ISERROR((VLOOKUP(S7,Pitchers!$B$1:H$800,4,FALSE))),"",(VLOOKUP(S7,Pitchers!$B$1:H$800,4,FALSE)))</f>
        <v>NYM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8</v>
      </c>
      <c r="X7" s="47">
        <f>IF(ISERROR((VLOOKUP(S7,Pitchers!B$2:AA$795,11,FALSE))),"",(VLOOKUP(S7,Pitchers!B$2:AA$795,11,FALSE)))</f>
        <v>193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2" t="s">
        <v>32</v>
      </c>
      <c r="C8" s="76" t="s">
        <v>1919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618</v>
      </c>
      <c r="T8" s="46" t="str">
        <f>IF(ISERROR((VLOOKUP(S8,Pitchers!$B$1:H$800,4,FALSE))),"",(VLOOKUP(S8,Pitchers!$B$1:H$800,4,FALSE)))</f>
        <v>MIN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7</v>
      </c>
      <c r="X8" s="47">
        <f>IF(ISERROR((VLOOKUP(S8,Pitchers!B$2:AA$795,11,FALSE))),"",(VLOOKUP(S8,Pitchers!B$2:AA$795,11,FALSE)))</f>
        <v>108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SUN</v>
      </c>
    </row>
    <row r="9" spans="1:36" ht="12.75">
      <c r="A9" s="6">
        <v>4.07</v>
      </c>
      <c r="B9" s="32" t="s">
        <v>32</v>
      </c>
      <c r="C9" s="76" t="s">
        <v>1919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1415</v>
      </c>
      <c r="T9" s="46" t="str">
        <f>IF(ISERROR((VLOOKUP(S9,Pitchers!$B$1:H$800,4,FALSE))),"",(VLOOKUP(S9,Pitchers!$B$1:H$800,4,FALSE)))</f>
        <v>DET</v>
      </c>
      <c r="U9" s="45" t="str">
        <f>IF(ISERROR((VLOOKUP(S9,Pitchers!B$2:AA$795,10,FALSE))),"",(VLOOKUP(S9,Pitchers!B$2:AA$795,10,FALSE)))</f>
        <v>L</v>
      </c>
      <c r="V9" s="41"/>
      <c r="W9" s="46">
        <f>IF(ISERROR((VLOOKUP(S9,Pitchers!B$2:AA$795,13,FALSE))),"",(VLOOKUP(S9,Pitchers!B$2:AA$795,13,FALSE)))</f>
        <v>3</v>
      </c>
      <c r="X9" s="47">
        <f>IF(ISERROR((VLOOKUP(S9,Pitchers!B$2:AA$795,11,FALSE))),"",(VLOOKUP(S9,Pitchers!B$2:AA$795,11,FALSE)))</f>
        <v>31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SUN</v>
      </c>
    </row>
    <row r="10" spans="1:36" ht="12.75">
      <c r="A10" s="6">
        <v>4.08</v>
      </c>
      <c r="B10" s="32" t="s">
        <v>32</v>
      </c>
      <c r="C10" s="76" t="s">
        <v>1919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1612</v>
      </c>
      <c r="T10" s="46" t="str">
        <f>IF(ISERROR((VLOOKUP(S10,Pitchers!$B$1:H$800,4,FALSE))),"",(VLOOKUP(S10,Pitchers!$B$1:H$800,4,FALSE)))</f>
        <v>MIN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3</v>
      </c>
      <c r="X10" s="47">
        <f>IF(ISERROR((VLOOKUP(S10,Pitchers!B$2:AA$795,11,FALSE))),"",(VLOOKUP(S10,Pitchers!B$2:AA$795,11,FALSE)))</f>
        <v>5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Y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>L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SUN</v>
      </c>
    </row>
    <row r="11" spans="1:36" ht="12.75">
      <c r="A11" s="6">
        <v>4.09</v>
      </c>
      <c r="B11" s="32" t="s">
        <v>32</v>
      </c>
      <c r="C11" s="76" t="s">
        <v>1919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t="s">
        <v>1533</v>
      </c>
      <c r="T11" s="46" t="str">
        <f>IF(ISERROR((VLOOKUP(S11,Pitchers!$B$1:H$800,4,FALSE))),"",(VLOOKUP(S11,Pitchers!$B$1:H$800,4,FALSE)))</f>
        <v>WSN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2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>Y</v>
      </c>
      <c r="AC11" s="52" t="str">
        <f>IF(ISERROR((VLOOKUP(S11,Pitchers!B$2:AA$795,17,FALSE))),"",(VLOOKUP(S11,Pitchers!B$2:AA$795,17,FALSE)))</f>
        <v>Z</v>
      </c>
      <c r="AD11" s="53" t="str">
        <f>IF(ISERROR((VLOOKUP(S11,Pitchers!B$2:AA$795,18,FALSE))),"",(VLOOKUP(S11,Pitchers!B$2:AA$795,18,FALSE)))</f>
        <v xml:space="preserve"> 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SUN</v>
      </c>
    </row>
    <row r="12" spans="1:36" ht="12.75">
      <c r="A12" s="6">
        <v>4.0999999999999996</v>
      </c>
      <c r="B12" s="32"/>
      <c r="C12" s="76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86" t="s">
        <v>1587</v>
      </c>
      <c r="T12" s="46" t="str">
        <f>IF(ISERROR((VLOOKUP(S12,Pitchers!$B$1:H$800,4,FALSE))),"",(VLOOKUP(S12,Pitchers!$B$1:H$800,4,FALSE)))</f>
        <v>MIA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2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>Z</v>
      </c>
      <c r="AD12" s="53" t="str">
        <f>IF(ISERROR((VLOOKUP(S12,Pitchers!B$2:AA$795,18,FALSE))),"",(VLOOKUP(S12,Pitchers!B$2:AA$795,18,FALSE)))</f>
        <v>H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76" t="s">
        <v>48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SUN</v>
      </c>
    </row>
    <row r="14" spans="1:36" ht="12.75">
      <c r="A14" s="6">
        <v>4.12</v>
      </c>
      <c r="B14" s="33"/>
      <c r="C14" s="76" t="s">
        <v>48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SUN</v>
      </c>
    </row>
    <row r="15" spans="1:36" ht="12.75">
      <c r="A15" s="6">
        <v>4.13</v>
      </c>
      <c r="B15" s="33"/>
      <c r="C15" s="76" t="s">
        <v>48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SUN</v>
      </c>
    </row>
    <row r="16" spans="1:36" ht="12.75">
      <c r="A16" s="6">
        <v>4.1399999999999997</v>
      </c>
      <c r="B16" s="33"/>
      <c r="C16" s="76" t="s">
        <v>48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SUN</v>
      </c>
    </row>
    <row r="17" spans="1:36" ht="12.75">
      <c r="A17" s="6">
        <v>4.1500000000000004</v>
      </c>
      <c r="B17" s="33"/>
      <c r="C17" s="76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76" t="s">
        <v>33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SUN</v>
      </c>
    </row>
    <row r="19" spans="1:36" ht="12.75">
      <c r="A19" s="6">
        <v>4.17</v>
      </c>
      <c r="B19" s="33"/>
      <c r="C19" s="76" t="s">
        <v>33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SUN</v>
      </c>
    </row>
    <row r="20" spans="1:36" ht="12.75">
      <c r="A20" s="6">
        <v>4.18</v>
      </c>
      <c r="B20" s="33"/>
      <c r="C20" s="76" t="s">
        <v>33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SUN</v>
      </c>
    </row>
    <row r="21" spans="1:36" ht="12.75">
      <c r="A21" s="6">
        <v>4.1900000000000004</v>
      </c>
      <c r="B21" s="33"/>
      <c r="C21" s="76" t="s">
        <v>33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SUN</v>
      </c>
    </row>
    <row r="22" spans="1:36" ht="12.75">
      <c r="A22" s="6">
        <v>4.2</v>
      </c>
      <c r="B22" s="33"/>
      <c r="C22" s="76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 t="s">
        <v>32</v>
      </c>
      <c r="C23" s="76" t="s">
        <v>17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SUN</v>
      </c>
    </row>
    <row r="24" spans="1:36" ht="12.75">
      <c r="A24" s="6">
        <v>4.22</v>
      </c>
      <c r="B24" s="33" t="s">
        <v>32</v>
      </c>
      <c r="C24" s="76" t="s">
        <v>17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SUN</v>
      </c>
    </row>
    <row r="25" spans="1:36" ht="12.75">
      <c r="A25" s="6">
        <v>4.2300000000000004</v>
      </c>
      <c r="B25" s="33" t="s">
        <v>32</v>
      </c>
      <c r="C25" s="76" t="s">
        <v>17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SUN</v>
      </c>
    </row>
    <row r="26" spans="1:36" ht="12.75">
      <c r="A26" s="6">
        <v>4.24</v>
      </c>
      <c r="B26" s="33" t="s">
        <v>32</v>
      </c>
      <c r="C26" s="76" t="s">
        <v>17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SUN</v>
      </c>
    </row>
    <row r="27" spans="1:36" ht="12.75">
      <c r="A27" s="6">
        <v>4.25</v>
      </c>
      <c r="B27" s="33"/>
      <c r="C27" s="76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76" t="s">
        <v>12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SUN</v>
      </c>
    </row>
    <row r="29" spans="1:36" ht="12.75">
      <c r="A29" s="6">
        <v>4.2699999999999996</v>
      </c>
      <c r="B29" s="33" t="s">
        <v>32</v>
      </c>
      <c r="C29" s="76" t="s">
        <v>12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SUN</v>
      </c>
    </row>
    <row r="30" spans="1:36" ht="12.75">
      <c r="A30" s="6">
        <v>4.28</v>
      </c>
      <c r="B30" s="33" t="s">
        <v>32</v>
      </c>
      <c r="C30" s="76" t="s">
        <v>12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SUN</v>
      </c>
    </row>
    <row r="31" spans="1:36" ht="12.75">
      <c r="A31" s="6">
        <v>4.29</v>
      </c>
      <c r="B31" s="33" t="s">
        <v>32</v>
      </c>
      <c r="C31" s="76" t="s">
        <v>12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SUN</v>
      </c>
    </row>
    <row r="32" spans="1:36" ht="12.75">
      <c r="A32" s="6">
        <v>4.3</v>
      </c>
      <c r="B32" s="33"/>
      <c r="C32" s="76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 t="s">
        <v>32</v>
      </c>
      <c r="C33" s="76" t="s">
        <v>13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SUN</v>
      </c>
    </row>
    <row r="34" spans="1:36" ht="12.75">
      <c r="A34" s="6">
        <v>5.0199999999999996</v>
      </c>
      <c r="B34" s="33" t="s">
        <v>32</v>
      </c>
      <c r="C34" s="76" t="s">
        <v>13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SUN</v>
      </c>
    </row>
    <row r="35" spans="1:36" ht="12.75">
      <c r="A35" s="6">
        <v>5.03</v>
      </c>
      <c r="B35" s="33" t="s">
        <v>32</v>
      </c>
      <c r="C35" s="76" t="s">
        <v>13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SUN</v>
      </c>
    </row>
    <row r="36" spans="1:36" ht="12.75">
      <c r="A36" s="6">
        <v>5.04</v>
      </c>
      <c r="B36" s="33" t="s">
        <v>32</v>
      </c>
      <c r="C36" s="76" t="s">
        <v>13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SUN</v>
      </c>
    </row>
    <row r="37" spans="1:36" ht="12.75">
      <c r="A37" s="6">
        <v>5.05</v>
      </c>
      <c r="B37" s="33" t="s">
        <v>32</v>
      </c>
      <c r="C37" s="76" t="s">
        <v>1918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SUN</v>
      </c>
    </row>
    <row r="38" spans="1:36" ht="12.75">
      <c r="A38" s="6">
        <v>5.0599999999999996</v>
      </c>
      <c r="B38" s="33" t="s">
        <v>32</v>
      </c>
      <c r="C38" s="76" t="s">
        <v>1918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SUN</v>
      </c>
    </row>
    <row r="39" spans="1:36" ht="12.75">
      <c r="A39" s="6">
        <v>5.07</v>
      </c>
      <c r="B39" s="33" t="s">
        <v>32</v>
      </c>
      <c r="C39" s="76" t="s">
        <v>1918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SUN</v>
      </c>
    </row>
    <row r="40" spans="1:36" ht="12.75">
      <c r="A40" s="6">
        <v>5.08</v>
      </c>
      <c r="B40" s="33" t="s">
        <v>32</v>
      </c>
      <c r="C40" s="76" t="s">
        <v>1918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SUN</v>
      </c>
    </row>
    <row r="41" spans="1:36" ht="12.75">
      <c r="A41" s="6">
        <v>5.09</v>
      </c>
      <c r="B41" s="33"/>
      <c r="C41" s="76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/>
      <c r="C42" s="76" t="s">
        <v>40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SUN</v>
      </c>
    </row>
    <row r="43" spans="1:36" ht="12.75">
      <c r="A43" s="6">
        <v>5.1100000000000003</v>
      </c>
      <c r="B43" s="33"/>
      <c r="C43" s="76" t="s">
        <v>40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SUN</v>
      </c>
    </row>
    <row r="44" spans="1:36" ht="12.75">
      <c r="A44" s="6">
        <v>5.12</v>
      </c>
      <c r="B44" s="33"/>
      <c r="C44" s="76" t="s">
        <v>40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SUN</v>
      </c>
    </row>
    <row r="45" spans="1:36" ht="12.75">
      <c r="A45" s="6">
        <v>5.13</v>
      </c>
      <c r="B45" s="33"/>
      <c r="C45" s="76" t="s">
        <v>40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SUN</v>
      </c>
    </row>
    <row r="46" spans="1:36" ht="12.75">
      <c r="A46" s="6">
        <v>5.14</v>
      </c>
      <c r="B46" s="33" t="s">
        <v>32</v>
      </c>
      <c r="C46" s="76" t="s">
        <v>54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SUN</v>
      </c>
    </row>
    <row r="47" spans="1:36" ht="12.75">
      <c r="A47" s="6">
        <v>5.15</v>
      </c>
      <c r="B47" s="33" t="s">
        <v>32</v>
      </c>
      <c r="C47" s="76" t="s">
        <v>54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SUN</v>
      </c>
    </row>
    <row r="48" spans="1:36" ht="12.75">
      <c r="A48" s="6">
        <v>5.16</v>
      </c>
      <c r="B48" s="34"/>
      <c r="C48" s="77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76" t="s">
        <v>54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SUN</v>
      </c>
    </row>
    <row r="50" spans="1:36" ht="12.75">
      <c r="A50" s="6">
        <v>5.18</v>
      </c>
      <c r="B50" s="33" t="s">
        <v>32</v>
      </c>
      <c r="C50" s="76" t="s">
        <v>54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SUN</v>
      </c>
    </row>
    <row r="51" spans="1:36" ht="12.75">
      <c r="A51" s="6">
        <v>5.19</v>
      </c>
      <c r="B51" s="33" t="s">
        <v>32</v>
      </c>
      <c r="C51" s="76" t="s">
        <v>44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SUN</v>
      </c>
    </row>
    <row r="52" spans="1:36" ht="12.75">
      <c r="A52" s="6">
        <v>5.2</v>
      </c>
      <c r="B52" s="33" t="s">
        <v>32</v>
      </c>
      <c r="C52" s="76" t="s">
        <v>44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SUN</v>
      </c>
    </row>
    <row r="53" spans="1:36" ht="12.75">
      <c r="A53" s="6">
        <v>5.21</v>
      </c>
      <c r="B53" s="33" t="s">
        <v>32</v>
      </c>
      <c r="C53" s="76" t="s">
        <v>44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SUN</v>
      </c>
    </row>
    <row r="54" spans="1:36" ht="12.75">
      <c r="A54" s="6">
        <v>5.22</v>
      </c>
      <c r="B54" s="33" t="s">
        <v>32</v>
      </c>
      <c r="C54" s="76" t="s">
        <v>44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SUN</v>
      </c>
    </row>
    <row r="55" spans="1:36" ht="12.75">
      <c r="A55" s="6">
        <v>5.23</v>
      </c>
      <c r="B55" s="33"/>
      <c r="C55" s="76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2" t="s">
        <v>32</v>
      </c>
      <c r="C56" s="76" t="s">
        <v>35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SUN</v>
      </c>
    </row>
    <row r="57" spans="1:36" ht="12.75">
      <c r="A57" s="6">
        <v>5.25</v>
      </c>
      <c r="B57" s="32" t="s">
        <v>32</v>
      </c>
      <c r="C57" s="76" t="s">
        <v>35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SUN</v>
      </c>
    </row>
    <row r="58" spans="1:36" ht="12.75">
      <c r="A58" s="6">
        <v>5.26</v>
      </c>
      <c r="B58" s="32" t="s">
        <v>32</v>
      </c>
      <c r="C58" s="76" t="s">
        <v>35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SUN</v>
      </c>
    </row>
    <row r="59" spans="1:36" ht="12.75">
      <c r="A59" s="6">
        <v>5.27</v>
      </c>
      <c r="B59" s="32" t="s">
        <v>32</v>
      </c>
      <c r="C59" s="76" t="s">
        <v>35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SUN</v>
      </c>
    </row>
    <row r="60" spans="1:36" ht="12.75">
      <c r="A60" s="6">
        <v>5.28</v>
      </c>
      <c r="B60" s="33"/>
      <c r="C60" s="76" t="s">
        <v>42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SUN</v>
      </c>
    </row>
    <row r="61" spans="1:36" ht="12.75">
      <c r="A61" s="6">
        <v>5.29</v>
      </c>
      <c r="B61" s="33"/>
      <c r="C61" s="76" t="s">
        <v>42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SUN</v>
      </c>
    </row>
    <row r="62" spans="1:36" ht="12.75">
      <c r="A62" s="6">
        <v>5.3</v>
      </c>
      <c r="B62" s="34"/>
      <c r="C62" s="77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/>
      <c r="C63" s="76" t="s">
        <v>42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SUN</v>
      </c>
    </row>
    <row r="64" spans="1:36" ht="12.75">
      <c r="A64" s="6">
        <v>6.01</v>
      </c>
      <c r="B64" s="33"/>
      <c r="C64" s="76" t="s">
        <v>15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SUN</v>
      </c>
    </row>
    <row r="65" spans="1:36" ht="12.75">
      <c r="A65" s="6">
        <v>6.02</v>
      </c>
      <c r="B65" s="33"/>
      <c r="C65" s="76" t="s">
        <v>15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SUN</v>
      </c>
    </row>
    <row r="66" spans="1:36" ht="12.75">
      <c r="A66" s="6">
        <v>6.03</v>
      </c>
      <c r="B66" s="33"/>
      <c r="C66" s="76" t="s">
        <v>15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SUN</v>
      </c>
    </row>
    <row r="67" spans="1:36" ht="12.75">
      <c r="A67" s="6">
        <v>6.04</v>
      </c>
      <c r="B67" s="33"/>
      <c r="C67" s="76" t="s">
        <v>15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SUN</v>
      </c>
    </row>
    <row r="68" spans="1:36" ht="12.75">
      <c r="A68" s="6">
        <v>6.05</v>
      </c>
      <c r="B68" s="33"/>
      <c r="C68" s="76" t="s">
        <v>51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SUN</v>
      </c>
    </row>
    <row r="69" spans="1:36" ht="12.75">
      <c r="A69" s="6">
        <v>6.06</v>
      </c>
      <c r="B69" s="33"/>
      <c r="C69" s="76" t="s">
        <v>51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SUN</v>
      </c>
    </row>
    <row r="70" spans="1:36" ht="12.75">
      <c r="A70" s="6">
        <v>6.07</v>
      </c>
      <c r="B70" s="33"/>
      <c r="C70" s="76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/>
      <c r="C71" s="76" t="s">
        <v>51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SUN</v>
      </c>
    </row>
    <row r="72" spans="1:36" ht="12.75">
      <c r="A72" s="6">
        <v>6.09</v>
      </c>
      <c r="B72" s="33"/>
      <c r="C72" s="76" t="s">
        <v>51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SUN</v>
      </c>
    </row>
    <row r="73" spans="1:36" ht="12.75">
      <c r="A73" s="6">
        <v>6.1</v>
      </c>
      <c r="B73" s="32" t="s">
        <v>32</v>
      </c>
      <c r="C73" s="76" t="s">
        <v>53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SUN</v>
      </c>
    </row>
    <row r="74" spans="1:36" ht="12.75">
      <c r="A74" s="6">
        <v>6.11</v>
      </c>
      <c r="B74" s="32" t="s">
        <v>32</v>
      </c>
      <c r="C74" s="76" t="s">
        <v>53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SUN</v>
      </c>
    </row>
    <row r="75" spans="1:36" ht="12.75">
      <c r="A75" s="6">
        <v>6.12</v>
      </c>
      <c r="B75" s="32" t="s">
        <v>32</v>
      </c>
      <c r="C75" s="76" t="s">
        <v>53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SUN</v>
      </c>
    </row>
    <row r="76" spans="1:36" ht="12.75">
      <c r="A76" s="6">
        <v>6.13</v>
      </c>
      <c r="B76" s="32" t="s">
        <v>32</v>
      </c>
      <c r="C76" s="76" t="s">
        <v>53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SUN</v>
      </c>
    </row>
    <row r="77" spans="1:36" ht="12.75">
      <c r="A77" s="6">
        <v>6.14</v>
      </c>
      <c r="B77" s="33" t="s">
        <v>32</v>
      </c>
      <c r="C77" s="76" t="s">
        <v>52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SUN</v>
      </c>
    </row>
    <row r="78" spans="1:36" ht="12.75">
      <c r="A78" s="6">
        <v>6.15</v>
      </c>
      <c r="B78" s="33" t="s">
        <v>32</v>
      </c>
      <c r="C78" s="76" t="s">
        <v>52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SUN</v>
      </c>
    </row>
    <row r="79" spans="1:36" ht="12.75">
      <c r="A79" s="6">
        <v>6.16</v>
      </c>
      <c r="B79" s="33" t="s">
        <v>32</v>
      </c>
      <c r="C79" s="76" t="s">
        <v>52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SUN</v>
      </c>
    </row>
    <row r="80" spans="1:36" ht="12.75">
      <c r="A80" s="6">
        <v>6.17</v>
      </c>
      <c r="B80" s="33" t="s">
        <v>32</v>
      </c>
      <c r="C80" s="76" t="s">
        <v>52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SUN</v>
      </c>
    </row>
    <row r="81" spans="1:36" ht="12.75">
      <c r="A81" s="6">
        <v>6.18</v>
      </c>
      <c r="B81" s="33"/>
      <c r="C81" s="76" t="s">
        <v>55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SUN</v>
      </c>
    </row>
    <row r="82" spans="1:36" ht="12.75">
      <c r="A82" s="6">
        <v>6.19</v>
      </c>
      <c r="B82" s="33"/>
      <c r="C82" s="76" t="s">
        <v>55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SUN</v>
      </c>
    </row>
    <row r="83" spans="1:36" ht="12.75">
      <c r="A83" s="6">
        <v>6.2</v>
      </c>
      <c r="B83" s="33"/>
      <c r="C83" s="76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/>
      <c r="C84" s="76" t="s">
        <v>55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SUN</v>
      </c>
    </row>
    <row r="85" spans="1:36" ht="12.75">
      <c r="A85" s="6">
        <v>6.22</v>
      </c>
      <c r="B85" s="33"/>
      <c r="C85" s="76" t="s">
        <v>55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SUN</v>
      </c>
    </row>
    <row r="86" spans="1:36" ht="12.75">
      <c r="A86" s="6">
        <v>6.23</v>
      </c>
      <c r="B86" s="33" t="s">
        <v>32</v>
      </c>
      <c r="C86" s="76" t="s">
        <v>41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SUN</v>
      </c>
    </row>
    <row r="87" spans="1:36" ht="12.75">
      <c r="A87" s="6">
        <v>6.24</v>
      </c>
      <c r="B87" s="33" t="s">
        <v>32</v>
      </c>
      <c r="C87" s="76" t="s">
        <v>41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SUN</v>
      </c>
    </row>
    <row r="88" spans="1:36" ht="12.75">
      <c r="A88" s="6">
        <v>6.25</v>
      </c>
      <c r="B88" s="33" t="s">
        <v>32</v>
      </c>
      <c r="C88" s="76" t="s">
        <v>41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SUN</v>
      </c>
    </row>
    <row r="89" spans="1:36" ht="12.75">
      <c r="A89" s="6">
        <v>6.26</v>
      </c>
      <c r="B89" s="33" t="s">
        <v>32</v>
      </c>
      <c r="C89" s="76" t="s">
        <v>41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SUN</v>
      </c>
    </row>
    <row r="90" spans="1:36" ht="12.75">
      <c r="A90" s="6">
        <v>6.27</v>
      </c>
      <c r="B90" s="32"/>
      <c r="C90" s="76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2.75">
      <c r="A91" s="6">
        <v>6.28</v>
      </c>
      <c r="B91" s="33"/>
      <c r="C91" s="76" t="s">
        <v>1191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SUN</v>
      </c>
    </row>
    <row r="92" spans="1:36" ht="12.75">
      <c r="A92" s="6">
        <v>6.29</v>
      </c>
      <c r="B92" s="33"/>
      <c r="C92" s="76" t="s">
        <v>1191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SUN</v>
      </c>
    </row>
    <row r="93" spans="1:36" ht="12.75">
      <c r="A93" s="6">
        <v>6.3</v>
      </c>
      <c r="B93" s="33"/>
      <c r="C93" s="76" t="s">
        <v>1191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SUN</v>
      </c>
    </row>
    <row r="94" spans="1:36" ht="12.75">
      <c r="A94" s="6">
        <v>7.01</v>
      </c>
      <c r="B94" s="33" t="s">
        <v>32</v>
      </c>
      <c r="C94" s="76" t="s">
        <v>45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SUN</v>
      </c>
    </row>
    <row r="95" spans="1:36" ht="12.75">
      <c r="A95" s="6">
        <v>7.02</v>
      </c>
      <c r="B95" s="33" t="s">
        <v>32</v>
      </c>
      <c r="C95" s="76" t="s">
        <v>45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SUN</v>
      </c>
    </row>
    <row r="96" spans="1:36" ht="12.75">
      <c r="A96" s="6">
        <v>7.03</v>
      </c>
      <c r="B96" s="33" t="s">
        <v>32</v>
      </c>
      <c r="C96" s="76" t="s">
        <v>45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SUN</v>
      </c>
    </row>
    <row r="97" spans="1:36" ht="12.75">
      <c r="A97" s="6">
        <v>7.04</v>
      </c>
      <c r="B97" s="33" t="s">
        <v>32</v>
      </c>
      <c r="C97" s="76" t="s">
        <v>43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SUN</v>
      </c>
    </row>
    <row r="98" spans="1:36" ht="12.75">
      <c r="A98" s="6">
        <v>7.05</v>
      </c>
      <c r="B98" s="33" t="s">
        <v>32</v>
      </c>
      <c r="C98" s="76" t="s">
        <v>43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SUN</v>
      </c>
    </row>
    <row r="99" spans="1:36" ht="12.75">
      <c r="A99" s="6">
        <v>7.06</v>
      </c>
      <c r="B99" s="33" t="s">
        <v>32</v>
      </c>
      <c r="C99" s="76" t="s">
        <v>43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SUN</v>
      </c>
    </row>
    <row r="100" spans="1:36" ht="12.75">
      <c r="A100" s="6">
        <v>7.07</v>
      </c>
      <c r="B100" s="33" t="s">
        <v>32</v>
      </c>
      <c r="C100" s="76" t="s">
        <v>1917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SUN</v>
      </c>
    </row>
    <row r="101" spans="1:36" ht="12.75">
      <c r="A101" s="6">
        <v>7.08</v>
      </c>
      <c r="B101" s="33" t="s">
        <v>32</v>
      </c>
      <c r="C101" s="76" t="s">
        <v>1917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SUN</v>
      </c>
    </row>
    <row r="102" spans="1:36" ht="12.75">
      <c r="A102" s="6">
        <v>7.09</v>
      </c>
      <c r="B102" s="33" t="s">
        <v>32</v>
      </c>
      <c r="C102" s="76" t="s">
        <v>1917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SUN</v>
      </c>
    </row>
    <row r="103" spans="1:36" ht="12.75">
      <c r="A103" s="6">
        <v>7.1</v>
      </c>
      <c r="B103" s="32"/>
      <c r="C103" s="76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2"/>
      <c r="C104" s="76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2"/>
      <c r="C105" s="76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 t="s">
        <v>32</v>
      </c>
      <c r="C106" s="76" t="s">
        <v>14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SUN</v>
      </c>
    </row>
    <row r="107" spans="1:36" ht="12.75">
      <c r="A107" s="6">
        <v>7.14</v>
      </c>
      <c r="B107" s="33" t="s">
        <v>32</v>
      </c>
      <c r="C107" s="76" t="s">
        <v>14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SUN</v>
      </c>
    </row>
    <row r="108" spans="1:36" ht="12.75">
      <c r="A108" s="6">
        <v>7.15</v>
      </c>
      <c r="B108" s="33" t="s">
        <v>32</v>
      </c>
      <c r="C108" s="76" t="s">
        <v>14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SUN</v>
      </c>
    </row>
    <row r="109" spans="1:36" ht="12.75">
      <c r="A109" s="6">
        <v>7.16</v>
      </c>
      <c r="B109" s="33" t="s">
        <v>32</v>
      </c>
      <c r="C109" s="76" t="s">
        <v>47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SUN</v>
      </c>
    </row>
    <row r="110" spans="1:36" ht="12.75">
      <c r="A110" s="6">
        <v>7.17</v>
      </c>
      <c r="B110" s="33" t="s">
        <v>32</v>
      </c>
      <c r="C110" s="76" t="s">
        <v>47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SUN</v>
      </c>
    </row>
    <row r="111" spans="1:36" ht="12.75">
      <c r="A111" s="6">
        <v>7.18</v>
      </c>
      <c r="B111" s="33" t="s">
        <v>32</v>
      </c>
      <c r="C111" s="76" t="s">
        <v>47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SUN</v>
      </c>
    </row>
    <row r="112" spans="1:36" ht="12.75">
      <c r="A112" s="6">
        <v>7.19</v>
      </c>
      <c r="B112" s="33" t="s">
        <v>32</v>
      </c>
      <c r="C112" s="76" t="s">
        <v>34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SUN</v>
      </c>
    </row>
    <row r="113" spans="1:36" ht="12.75">
      <c r="A113" s="6">
        <v>7.2</v>
      </c>
      <c r="B113" s="33" t="s">
        <v>32</v>
      </c>
      <c r="C113" s="76" t="s">
        <v>34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SUN</v>
      </c>
    </row>
    <row r="114" spans="1:36" ht="12.75">
      <c r="A114" s="6">
        <v>7.21</v>
      </c>
      <c r="B114" s="33" t="s">
        <v>32</v>
      </c>
      <c r="C114" s="76" t="s">
        <v>34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SUN</v>
      </c>
    </row>
    <row r="115" spans="1:36" ht="12.75">
      <c r="A115" s="6">
        <v>7.22</v>
      </c>
      <c r="B115" s="33" t="s">
        <v>32</v>
      </c>
      <c r="C115" s="76" t="s">
        <v>34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SUN</v>
      </c>
    </row>
    <row r="116" spans="1:36" ht="12.75">
      <c r="A116" s="6">
        <v>7.23</v>
      </c>
      <c r="B116" s="33"/>
      <c r="C116" s="76" t="s">
        <v>16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SUN</v>
      </c>
    </row>
    <row r="117" spans="1:36" ht="12.75">
      <c r="A117" s="6">
        <v>7.24</v>
      </c>
      <c r="B117" s="33"/>
      <c r="C117" s="76" t="s">
        <v>16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SUN</v>
      </c>
    </row>
    <row r="118" spans="1:36" ht="12.75">
      <c r="A118" s="6">
        <v>7.25</v>
      </c>
      <c r="B118" s="33"/>
      <c r="C118" s="76" t="s">
        <v>16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SUN</v>
      </c>
    </row>
    <row r="119" spans="1:36" ht="12.75">
      <c r="A119" s="6">
        <v>7.26</v>
      </c>
      <c r="B119" s="33"/>
      <c r="C119" s="76" t="s">
        <v>16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SUN</v>
      </c>
    </row>
    <row r="120" spans="1:36" ht="12.75">
      <c r="A120" s="6">
        <v>7.27</v>
      </c>
      <c r="B120" s="33"/>
      <c r="C120" s="76" t="s">
        <v>56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SUN</v>
      </c>
    </row>
    <row r="121" spans="1:36" ht="12.75">
      <c r="A121" s="6">
        <v>7.28</v>
      </c>
      <c r="B121" s="33"/>
      <c r="C121" s="76" t="s">
        <v>56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SUN</v>
      </c>
    </row>
    <row r="122" spans="1:36" ht="12.75">
      <c r="A122" s="6">
        <v>7.29</v>
      </c>
      <c r="B122" s="33"/>
      <c r="C122" s="76" t="s">
        <v>56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SUN</v>
      </c>
    </row>
    <row r="123" spans="1:36" ht="12.75">
      <c r="A123" s="6">
        <v>7.3</v>
      </c>
      <c r="B123" s="33"/>
      <c r="C123" s="76" t="s">
        <v>56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SUN</v>
      </c>
    </row>
    <row r="124" spans="1:36" ht="12.75">
      <c r="A124" s="6">
        <v>7.31</v>
      </c>
      <c r="B124" s="32"/>
      <c r="C124" s="76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/>
      <c r="C125" s="76" t="s">
        <v>49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SUN</v>
      </c>
    </row>
    <row r="126" spans="1:36" ht="12.75">
      <c r="A126" s="6">
        <v>8.02</v>
      </c>
      <c r="B126" s="33"/>
      <c r="C126" s="76" t="s">
        <v>49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SUN</v>
      </c>
    </row>
    <row r="127" spans="1:36" ht="12.75">
      <c r="A127" s="6">
        <v>8.0299999999999994</v>
      </c>
      <c r="B127" s="33"/>
      <c r="C127" s="76" t="s">
        <v>49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SUN</v>
      </c>
    </row>
    <row r="128" spans="1:36" ht="12.75">
      <c r="A128" s="6">
        <v>8.0399999999999991</v>
      </c>
      <c r="B128" s="33"/>
      <c r="C128" s="76" t="s">
        <v>49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SUN</v>
      </c>
    </row>
    <row r="129" spans="1:36" ht="12.75">
      <c r="A129" s="6">
        <v>8.0500000000000007</v>
      </c>
      <c r="B129" s="33"/>
      <c r="C129" s="76" t="s">
        <v>45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SUN</v>
      </c>
    </row>
    <row r="130" spans="1:36" ht="12.75">
      <c r="A130" s="6">
        <v>8.06</v>
      </c>
      <c r="B130" s="33"/>
      <c r="C130" s="76" t="s">
        <v>45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SUN</v>
      </c>
    </row>
    <row r="131" spans="1:36" ht="12.75">
      <c r="A131" s="6">
        <v>8.07</v>
      </c>
      <c r="B131" s="33"/>
      <c r="C131" s="76" t="s">
        <v>45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SUN</v>
      </c>
    </row>
    <row r="132" spans="1:36" ht="12.75">
      <c r="A132" s="6">
        <v>8.08</v>
      </c>
      <c r="B132" s="33"/>
      <c r="C132" s="76" t="s">
        <v>45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SUN</v>
      </c>
    </row>
    <row r="133" spans="1:36" ht="12.75">
      <c r="A133" s="6">
        <v>8.09</v>
      </c>
      <c r="B133" s="33"/>
      <c r="C133" s="76" t="s">
        <v>47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SUN</v>
      </c>
    </row>
    <row r="134" spans="1:36" ht="12.75">
      <c r="A134" s="6">
        <v>8.1</v>
      </c>
      <c r="B134" s="33"/>
      <c r="C134" s="76" t="s">
        <v>47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SUN</v>
      </c>
    </row>
    <row r="135" spans="1:36" ht="12.75">
      <c r="A135" s="6">
        <v>8.11</v>
      </c>
      <c r="B135" s="33"/>
      <c r="C135" s="76" t="s">
        <v>47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SUN</v>
      </c>
    </row>
    <row r="136" spans="1:36" ht="12.75">
      <c r="A136" s="6">
        <v>8.1199999999999992</v>
      </c>
      <c r="B136" s="33"/>
      <c r="C136" s="76" t="s">
        <v>47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SUN</v>
      </c>
    </row>
    <row r="137" spans="1:36" ht="12.75">
      <c r="A137" s="6">
        <v>8.1300000000000008</v>
      </c>
      <c r="B137" s="32" t="s">
        <v>32</v>
      </c>
      <c r="C137" s="76" t="s">
        <v>1191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SUN</v>
      </c>
    </row>
    <row r="138" spans="1:36" ht="12.75">
      <c r="A138" s="6">
        <v>8.14</v>
      </c>
      <c r="B138" s="32"/>
      <c r="C138" s="76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2" t="s">
        <v>32</v>
      </c>
      <c r="C139" s="76" t="s">
        <v>1191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SUN</v>
      </c>
    </row>
    <row r="140" spans="1:36" ht="12.75">
      <c r="A140" s="6">
        <v>8.16</v>
      </c>
      <c r="B140" s="32" t="s">
        <v>32</v>
      </c>
      <c r="C140" s="76" t="s">
        <v>1191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SUN</v>
      </c>
    </row>
    <row r="141" spans="1:36" ht="12.75">
      <c r="A141" s="6">
        <v>8.17</v>
      </c>
      <c r="B141" s="32" t="s">
        <v>32</v>
      </c>
      <c r="C141" s="76" t="s">
        <v>1191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SUN</v>
      </c>
    </row>
    <row r="142" spans="1:36" ht="12.75">
      <c r="A142" s="6">
        <v>8.18</v>
      </c>
      <c r="B142" s="33"/>
      <c r="C142" s="76" t="s">
        <v>13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SUN</v>
      </c>
    </row>
    <row r="143" spans="1:36" ht="12.75">
      <c r="A143" s="6">
        <v>8.19</v>
      </c>
      <c r="B143" s="33"/>
      <c r="C143" s="76" t="s">
        <v>13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SUN</v>
      </c>
    </row>
    <row r="144" spans="1:36" ht="12.75">
      <c r="A144" s="6">
        <v>8.1999999999999993</v>
      </c>
      <c r="B144" s="33"/>
      <c r="C144" s="76" t="s">
        <v>13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SUN</v>
      </c>
    </row>
    <row r="145" spans="1:36" ht="12.75">
      <c r="A145" s="6">
        <v>8.2100000000000009</v>
      </c>
      <c r="B145" s="33"/>
      <c r="C145" s="76" t="s">
        <v>14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SUN</v>
      </c>
    </row>
    <row r="146" spans="1:36" ht="12.75">
      <c r="A146" s="6">
        <v>8.2200000000000006</v>
      </c>
      <c r="B146" s="33"/>
      <c r="C146" s="76" t="s">
        <v>14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SUN</v>
      </c>
    </row>
    <row r="147" spans="1:36" ht="12.75">
      <c r="A147" s="6">
        <v>8.23</v>
      </c>
      <c r="B147" s="33"/>
      <c r="C147" s="76" t="s">
        <v>14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SUN</v>
      </c>
    </row>
    <row r="148" spans="1:36" ht="12.75">
      <c r="A148" s="6">
        <v>8.24</v>
      </c>
      <c r="B148" s="33"/>
      <c r="C148" s="76" t="s">
        <v>14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SUN</v>
      </c>
    </row>
    <row r="149" spans="1:36" ht="12.75">
      <c r="A149" s="6">
        <v>8.25</v>
      </c>
      <c r="B149" s="33"/>
      <c r="C149" s="76" t="s">
        <v>43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SUN</v>
      </c>
    </row>
    <row r="150" spans="1:36" ht="12.75">
      <c r="A150" s="6">
        <v>8.26</v>
      </c>
      <c r="B150" s="33"/>
      <c r="C150" s="76" t="s">
        <v>43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SUN</v>
      </c>
    </row>
    <row r="151" spans="1:36" ht="12.75">
      <c r="A151" s="6">
        <v>8.27</v>
      </c>
      <c r="B151" s="33"/>
      <c r="C151" s="76" t="s">
        <v>43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SUN</v>
      </c>
    </row>
    <row r="152" spans="1:36" ht="12.75">
      <c r="A152" s="6">
        <v>8.2799999999999994</v>
      </c>
      <c r="B152" s="33"/>
      <c r="C152" s="76" t="s">
        <v>43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SUN</v>
      </c>
    </row>
    <row r="153" spans="1:36" ht="12.75">
      <c r="A153" s="6">
        <v>8.2899999999999991</v>
      </c>
      <c r="B153" s="33"/>
      <c r="C153" s="76" t="s">
        <v>1918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SUN</v>
      </c>
    </row>
    <row r="154" spans="1:36" ht="12.75">
      <c r="A154" s="6">
        <v>8.3000000000000007</v>
      </c>
      <c r="B154" s="33"/>
      <c r="C154" s="76" t="s">
        <v>1918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SUN</v>
      </c>
    </row>
    <row r="155" spans="1:36" ht="12.75">
      <c r="A155" s="6">
        <v>8.31</v>
      </c>
      <c r="B155" s="33"/>
      <c r="C155" s="76" t="s">
        <v>1918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SUN</v>
      </c>
    </row>
    <row r="156" spans="1:36" ht="12.75">
      <c r="A156" s="6">
        <v>9.01</v>
      </c>
      <c r="B156" s="34"/>
      <c r="C156" s="77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/>
      <c r="C157" s="76" t="s">
        <v>44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SUN</v>
      </c>
    </row>
    <row r="158" spans="1:36" ht="12.75">
      <c r="A158" s="6">
        <v>9.0299999999999994</v>
      </c>
      <c r="B158" s="33"/>
      <c r="C158" s="76" t="s">
        <v>44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SUN</v>
      </c>
    </row>
    <row r="159" spans="1:36" ht="12.75">
      <c r="A159" s="6">
        <v>9.0399999999999991</v>
      </c>
      <c r="B159" s="33"/>
      <c r="C159" s="76" t="s">
        <v>44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SUN</v>
      </c>
    </row>
    <row r="160" spans="1:36" ht="12.75">
      <c r="A160" s="6">
        <v>9.0500000000000007</v>
      </c>
      <c r="B160" s="33" t="s">
        <v>32</v>
      </c>
      <c r="C160" s="76" t="s">
        <v>51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SUN</v>
      </c>
    </row>
    <row r="161" spans="1:36" ht="12.75">
      <c r="A161" s="6">
        <v>9.06</v>
      </c>
      <c r="B161" s="33" t="s">
        <v>32</v>
      </c>
      <c r="C161" s="76" t="s">
        <v>51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SUN</v>
      </c>
    </row>
    <row r="162" spans="1:36" ht="12.75">
      <c r="A162" s="6">
        <v>9.07</v>
      </c>
      <c r="B162" s="33" t="s">
        <v>32</v>
      </c>
      <c r="C162" s="76" t="s">
        <v>51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SUN</v>
      </c>
    </row>
    <row r="163" spans="1:36" ht="12.75">
      <c r="A163" s="6">
        <v>9.08</v>
      </c>
      <c r="B163" s="33"/>
      <c r="C163" s="76" t="s">
        <v>54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SUN</v>
      </c>
    </row>
    <row r="164" spans="1:36" ht="12.75">
      <c r="A164" s="6">
        <v>9.09</v>
      </c>
      <c r="B164" s="33"/>
      <c r="C164" s="76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/>
      <c r="C165" s="76" t="s">
        <v>54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SUN</v>
      </c>
    </row>
    <row r="166" spans="1:36" ht="12.75">
      <c r="A166" s="6">
        <v>9.11</v>
      </c>
      <c r="B166" s="33"/>
      <c r="C166" s="76" t="s">
        <v>54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SUN</v>
      </c>
    </row>
    <row r="167" spans="1:36" ht="12.75">
      <c r="A167" s="6">
        <v>9.1199999999999992</v>
      </c>
      <c r="B167" s="33" t="s">
        <v>32</v>
      </c>
      <c r="C167" s="76" t="s">
        <v>42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SUN</v>
      </c>
    </row>
    <row r="168" spans="1:36" ht="12.75">
      <c r="A168" s="6">
        <v>9.1300000000000008</v>
      </c>
      <c r="B168" s="33" t="s">
        <v>32</v>
      </c>
      <c r="C168" s="76" t="s">
        <v>42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SUN</v>
      </c>
    </row>
    <row r="169" spans="1:36" ht="12.75">
      <c r="A169" s="6">
        <v>9.14</v>
      </c>
      <c r="B169" s="33" t="s">
        <v>32</v>
      </c>
      <c r="C169" s="76" t="s">
        <v>42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SUN</v>
      </c>
    </row>
    <row r="170" spans="1:36" ht="12.75">
      <c r="A170" s="6">
        <v>9.15</v>
      </c>
      <c r="B170" s="33" t="s">
        <v>32</v>
      </c>
      <c r="C170" s="76" t="s">
        <v>42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SUN</v>
      </c>
    </row>
    <row r="171" spans="1:36" ht="12.75">
      <c r="A171" s="6">
        <v>9.16</v>
      </c>
      <c r="B171" s="33" t="s">
        <v>32</v>
      </c>
      <c r="C171" s="76" t="s">
        <v>49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SUN</v>
      </c>
    </row>
    <row r="172" spans="1:36" ht="12.75">
      <c r="A172" s="6">
        <v>9.17</v>
      </c>
      <c r="B172" s="33" t="s">
        <v>32</v>
      </c>
      <c r="C172" s="76" t="s">
        <v>49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SUN</v>
      </c>
    </row>
    <row r="173" spans="1:36" ht="12.75">
      <c r="A173" s="6">
        <v>9.18</v>
      </c>
      <c r="B173" s="33" t="s">
        <v>32</v>
      </c>
      <c r="C173" s="76" t="s">
        <v>49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SUN</v>
      </c>
    </row>
    <row r="174" spans="1:36" ht="12.75">
      <c r="A174" s="6">
        <v>9.19</v>
      </c>
      <c r="B174" s="33"/>
      <c r="C174" s="76" t="s">
        <v>1917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SUN</v>
      </c>
    </row>
    <row r="175" spans="1:36" ht="12.75">
      <c r="A175" s="6">
        <v>9.1999999999999993</v>
      </c>
      <c r="B175" s="33"/>
      <c r="C175" s="76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/>
      <c r="C176" s="76" t="s">
        <v>1917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SUN</v>
      </c>
    </row>
    <row r="177" spans="1:36" ht="12.75">
      <c r="A177" s="6">
        <v>9.2200000000000006</v>
      </c>
      <c r="B177" s="33"/>
      <c r="C177" s="76" t="s">
        <v>1917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SUN</v>
      </c>
    </row>
    <row r="178" spans="1:36" ht="12.75">
      <c r="A178" s="6">
        <v>9.23</v>
      </c>
      <c r="B178" s="33"/>
      <c r="C178" s="76" t="s">
        <v>1917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SUN</v>
      </c>
    </row>
    <row r="179" spans="1:36" ht="12.75">
      <c r="A179" s="6">
        <v>9.24</v>
      </c>
      <c r="B179" s="33"/>
      <c r="C179" s="76" t="s">
        <v>39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SUN</v>
      </c>
    </row>
    <row r="180" spans="1:36" ht="12.75">
      <c r="A180" s="6">
        <v>9.25</v>
      </c>
      <c r="B180" s="33"/>
      <c r="C180" s="76" t="s">
        <v>39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SUN</v>
      </c>
    </row>
    <row r="181" spans="1:36" ht="12.75">
      <c r="A181" s="6">
        <v>9.26</v>
      </c>
      <c r="B181" s="33"/>
      <c r="C181" s="76" t="s">
        <v>39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SUN</v>
      </c>
    </row>
    <row r="182" spans="1:36" ht="12.75">
      <c r="A182" s="6">
        <v>9.27</v>
      </c>
      <c r="B182" s="33"/>
      <c r="C182" s="76" t="s">
        <v>41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SUN</v>
      </c>
    </row>
    <row r="183" spans="1:36" ht="12.75">
      <c r="A183" s="6">
        <v>9.2799999999999994</v>
      </c>
      <c r="B183" s="33"/>
      <c r="C183" s="76" t="s">
        <v>41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SUN</v>
      </c>
    </row>
    <row r="184" spans="1:36" ht="12.75">
      <c r="A184" s="6">
        <v>9.2899999999999991</v>
      </c>
      <c r="B184" s="33"/>
      <c r="C184" s="76" t="s">
        <v>41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SUN</v>
      </c>
    </row>
    <row r="185" spans="1:36" ht="12.75">
      <c r="A185" s="6">
        <v>9.3000000000000007</v>
      </c>
      <c r="B185" s="33"/>
      <c r="C185" s="76" t="s">
        <v>41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SUN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K197" s="2"/>
      <c r="AJ197" s="2"/>
    </row>
    <row r="198" spans="3:36">
      <c r="C198" s="2"/>
      <c r="K198" s="2"/>
      <c r="AJ198" s="2"/>
    </row>
    <row r="199" spans="3:36">
      <c r="C199" s="2"/>
      <c r="K199" s="2"/>
      <c r="AJ199" s="2"/>
    </row>
    <row r="200" spans="3:36">
      <c r="C200" s="2"/>
      <c r="K200" s="2"/>
      <c r="AJ200" s="2"/>
    </row>
    <row r="201" spans="3:36">
      <c r="C201" s="2"/>
      <c r="K201" s="2"/>
      <c r="AJ201" s="2"/>
    </row>
    <row r="202" spans="3:36">
      <c r="C202" s="2"/>
      <c r="K202" s="2"/>
      <c r="AJ202" s="2"/>
    </row>
    <row r="203" spans="3:36">
      <c r="C203" s="2"/>
      <c r="K203" s="2"/>
      <c r="AJ203" s="2"/>
    </row>
    <row r="204" spans="3:36">
      <c r="C204" s="2"/>
      <c r="AJ204" s="2"/>
    </row>
    <row r="205" spans="3:36">
      <c r="C205" s="2"/>
      <c r="AJ205" s="2"/>
    </row>
    <row r="206" spans="3:36">
      <c r="C206" s="2"/>
      <c r="AJ206" s="2"/>
    </row>
    <row r="207" spans="3:36">
      <c r="C207" s="2"/>
      <c r="AJ207" s="2"/>
    </row>
    <row r="208" spans="3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</sheetData>
  <phoneticPr fontId="0" type="noConversion"/>
  <conditionalFormatting sqref="AK3:AK22">
    <cfRule type="cellIs" dxfId="951" priority="762" stopIfTrue="1" operator="equal">
      <formula>"must average at least 5 innings per start"</formula>
    </cfRule>
  </conditionalFormatting>
  <conditionalFormatting sqref="AK23">
    <cfRule type="cellIs" dxfId="950" priority="763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49" priority="764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948" priority="765" stopIfTrue="1" operator="equal">
      <formula>"input a different starter in column C"</formula>
    </cfRule>
  </conditionalFormatting>
  <conditionalFormatting sqref="AH3:AH22">
    <cfRule type="cellIs" dxfId="947" priority="375" stopIfTrue="1" operator="equal">
      <formula>"must average at least 5 innings per start"</formula>
    </cfRule>
  </conditionalFormatting>
  <conditionalFormatting sqref="AH23">
    <cfRule type="cellIs" dxfId="946" priority="374" stopIfTrue="1" operator="equal">
      <formula>"must have 162 starts"</formula>
    </cfRule>
  </conditionalFormatting>
  <conditionalFormatting sqref="AG3:AG22">
    <cfRule type="cellIs" dxfId="945" priority="373" stopIfTrue="1" operator="equal">
      <formula>"must average at least 5 innings per start"</formula>
    </cfRule>
  </conditionalFormatting>
  <conditionalFormatting sqref="AG23">
    <cfRule type="cellIs" dxfId="944" priority="372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43" priority="37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42" priority="37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41" priority="36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40" priority="36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9" priority="36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8" priority="36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7" priority="36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6" priority="36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5" priority="36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4" priority="36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3" priority="36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2" priority="36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1" priority="35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30" priority="35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29" priority="35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28" priority="35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27" priority="35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26" priority="35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25" priority="35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24" priority="35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23" priority="35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922" priority="350" stopIfTrue="1" operator="equal">
      <formula>"input starter in column C"</formula>
    </cfRule>
  </conditionalFormatting>
  <conditionalFormatting sqref="P3">
    <cfRule type="cellIs" dxfId="921" priority="349" stopIfTrue="1" operator="equal">
      <formula>"input starter in column D"</formula>
    </cfRule>
  </conditionalFormatting>
  <conditionalFormatting sqref="P4">
    <cfRule type="cellIs" dxfId="920" priority="348" stopIfTrue="1" operator="equal">
      <formula>"input starter in column D"</formula>
    </cfRule>
  </conditionalFormatting>
  <conditionalFormatting sqref="P5">
    <cfRule type="cellIs" dxfId="919" priority="347" stopIfTrue="1" operator="equal">
      <formula>"INPUT STARTER IN COLUMN D"</formula>
    </cfRule>
  </conditionalFormatting>
  <conditionalFormatting sqref="P6">
    <cfRule type="cellIs" dxfId="918" priority="346" stopIfTrue="1" operator="equal">
      <formula>"INPUT STARTER IN COLUMN D"</formula>
    </cfRule>
  </conditionalFormatting>
  <conditionalFormatting sqref="P8">
    <cfRule type="cellIs" dxfId="917" priority="345" stopIfTrue="1" operator="equal">
      <formula>"INPUT STARTER IN COLUMN D"</formula>
    </cfRule>
  </conditionalFormatting>
  <conditionalFormatting sqref="P9">
    <cfRule type="cellIs" dxfId="916" priority="344" stopIfTrue="1" operator="equal">
      <formula>"INPUT STARTER IN COLUMN D"</formula>
    </cfRule>
  </conditionalFormatting>
  <conditionalFormatting sqref="P10">
    <cfRule type="cellIs" dxfId="915" priority="343" stopIfTrue="1" operator="equal">
      <formula>"INPUT STARTER IN COLUMN D"</formula>
    </cfRule>
  </conditionalFormatting>
  <conditionalFormatting sqref="P11">
    <cfRule type="cellIs" dxfId="914" priority="342" stopIfTrue="1" operator="equal">
      <formula>"INPUT STARTER IN COLUMN D"</formula>
    </cfRule>
  </conditionalFormatting>
  <conditionalFormatting sqref="P13">
    <cfRule type="cellIs" dxfId="913" priority="341" stopIfTrue="1" operator="equal">
      <formula>"INPUT STARTER IN COLUMN D"</formula>
    </cfRule>
  </conditionalFormatting>
  <conditionalFormatting sqref="P14">
    <cfRule type="cellIs" dxfId="912" priority="340" stopIfTrue="1" operator="equal">
      <formula>"INPUT STARTER IN COLUMN D"</formula>
    </cfRule>
  </conditionalFormatting>
  <conditionalFormatting sqref="P15">
    <cfRule type="cellIs" dxfId="911" priority="339" stopIfTrue="1" operator="equal">
      <formula>"INPUT STARTER IN COLUMN D"</formula>
    </cfRule>
  </conditionalFormatting>
  <conditionalFormatting sqref="P16">
    <cfRule type="cellIs" dxfId="910" priority="338" stopIfTrue="1" operator="equal">
      <formula>"INPUT STARTER IN COLUMN D"</formula>
    </cfRule>
  </conditionalFormatting>
  <conditionalFormatting sqref="P18">
    <cfRule type="cellIs" dxfId="909" priority="337" stopIfTrue="1" operator="equal">
      <formula>"INPUT STARTER IN COLUMN D"</formula>
    </cfRule>
  </conditionalFormatting>
  <conditionalFormatting sqref="P19">
    <cfRule type="cellIs" dxfId="908" priority="336" stopIfTrue="1" operator="equal">
      <formula>"INPUT STARTER IN COLUMN D"</formula>
    </cfRule>
  </conditionalFormatting>
  <conditionalFormatting sqref="P20">
    <cfRule type="cellIs" dxfId="907" priority="335" stopIfTrue="1" operator="equal">
      <formula>"INPUT STARTER IN COLUMN D"</formula>
    </cfRule>
  </conditionalFormatting>
  <conditionalFormatting sqref="P21">
    <cfRule type="cellIs" dxfId="906" priority="334" stopIfTrue="1" operator="equal">
      <formula>"INPUT STARTER IN COLUMN D"</formula>
    </cfRule>
  </conditionalFormatting>
  <conditionalFormatting sqref="P23">
    <cfRule type="cellIs" dxfId="905" priority="333" stopIfTrue="1" operator="equal">
      <formula>"INPUT STARTER IN COLUMN D"</formula>
    </cfRule>
  </conditionalFormatting>
  <conditionalFormatting sqref="P24">
    <cfRule type="cellIs" dxfId="904" priority="332" stopIfTrue="1" operator="equal">
      <formula>"INPUT STARTER IN COLUMN D"</formula>
    </cfRule>
  </conditionalFormatting>
  <conditionalFormatting sqref="P25">
    <cfRule type="cellIs" dxfId="903" priority="331" stopIfTrue="1" operator="equal">
      <formula>"INPUT STARTER IN COLUMN D"</formula>
    </cfRule>
  </conditionalFormatting>
  <conditionalFormatting sqref="P26">
    <cfRule type="cellIs" dxfId="902" priority="330" stopIfTrue="1" operator="equal">
      <formula>"INPUT STARTER IN COLUMN D"</formula>
    </cfRule>
  </conditionalFormatting>
  <conditionalFormatting sqref="P28">
    <cfRule type="cellIs" dxfId="901" priority="329" stopIfTrue="1" operator="equal">
      <formula>"INPUT STARTER IN COLUMN D"</formula>
    </cfRule>
  </conditionalFormatting>
  <conditionalFormatting sqref="P29">
    <cfRule type="cellIs" dxfId="900" priority="328" stopIfTrue="1" operator="equal">
      <formula>"INPUT STARTER IN COLUMN D"</formula>
    </cfRule>
  </conditionalFormatting>
  <conditionalFormatting sqref="P30">
    <cfRule type="cellIs" dxfId="899" priority="327" stopIfTrue="1" operator="equal">
      <formula>"INPUT STARTER IN COLUMN D"</formula>
    </cfRule>
  </conditionalFormatting>
  <conditionalFormatting sqref="P31">
    <cfRule type="cellIs" dxfId="898" priority="326" stopIfTrue="1" operator="equal">
      <formula>"INPUT STARTER IN COLUMN D"</formula>
    </cfRule>
  </conditionalFormatting>
  <conditionalFormatting sqref="P33">
    <cfRule type="cellIs" dxfId="897" priority="325" stopIfTrue="1" operator="equal">
      <formula>"INPUT STARTER IN COLUMN D"</formula>
    </cfRule>
  </conditionalFormatting>
  <conditionalFormatting sqref="P34">
    <cfRule type="cellIs" dxfId="896" priority="324" stopIfTrue="1" operator="equal">
      <formula>"INPUT STARTER IN COLUMN D"</formula>
    </cfRule>
  </conditionalFormatting>
  <conditionalFormatting sqref="P35">
    <cfRule type="cellIs" dxfId="895" priority="323" stopIfTrue="1" operator="equal">
      <formula>"INPUT STARTER IN COLUMN D"</formula>
    </cfRule>
  </conditionalFormatting>
  <conditionalFormatting sqref="P36">
    <cfRule type="cellIs" dxfId="894" priority="322" stopIfTrue="1" operator="equal">
      <formula>"INPUT STARTER IN COLUMN D"</formula>
    </cfRule>
  </conditionalFormatting>
  <conditionalFormatting sqref="P37">
    <cfRule type="cellIs" dxfId="893" priority="321" stopIfTrue="1" operator="equal">
      <formula>"INPUT STARTER IN COLUMN D"</formula>
    </cfRule>
  </conditionalFormatting>
  <conditionalFormatting sqref="P38">
    <cfRule type="cellIs" dxfId="892" priority="320" stopIfTrue="1" operator="equal">
      <formula>"INPUT STARTER IN COLUMN D"</formula>
    </cfRule>
  </conditionalFormatting>
  <conditionalFormatting sqref="P39">
    <cfRule type="cellIs" dxfId="891" priority="319" stopIfTrue="1" operator="equal">
      <formula>"INPUT STARTER IN COLUMN D"</formula>
    </cfRule>
  </conditionalFormatting>
  <conditionalFormatting sqref="P40">
    <cfRule type="cellIs" dxfId="890" priority="318" stopIfTrue="1" operator="equal">
      <formula>"INPUT STARTER IN COLUMN D"</formula>
    </cfRule>
  </conditionalFormatting>
  <conditionalFormatting sqref="P42">
    <cfRule type="cellIs" dxfId="889" priority="317" stopIfTrue="1" operator="equal">
      <formula>"INPUT STARTER IN COLUMN D"</formula>
    </cfRule>
  </conditionalFormatting>
  <conditionalFormatting sqref="P43">
    <cfRule type="cellIs" dxfId="888" priority="316" stopIfTrue="1" operator="equal">
      <formula>"INPUT STARTER IN COLUMN D"</formula>
    </cfRule>
  </conditionalFormatting>
  <conditionalFormatting sqref="P44">
    <cfRule type="cellIs" dxfId="887" priority="315" stopIfTrue="1" operator="equal">
      <formula>"INPUT STARTER IN COLUMN D"</formula>
    </cfRule>
  </conditionalFormatting>
  <conditionalFormatting sqref="P45">
    <cfRule type="cellIs" dxfId="886" priority="314" stopIfTrue="1" operator="equal">
      <formula>"INPUT STARTER IN COLUMN D"</formula>
    </cfRule>
  </conditionalFormatting>
  <conditionalFormatting sqref="P46">
    <cfRule type="cellIs" dxfId="885" priority="313" stopIfTrue="1" operator="equal">
      <formula>"INPUT STARTER IN COLUMN D"</formula>
    </cfRule>
  </conditionalFormatting>
  <conditionalFormatting sqref="P47">
    <cfRule type="cellIs" dxfId="884" priority="312" stopIfTrue="1" operator="equal">
      <formula>"INPUT STARTER IN COLUMN D"</formula>
    </cfRule>
  </conditionalFormatting>
  <conditionalFormatting sqref="P49">
    <cfRule type="cellIs" dxfId="883" priority="311" stopIfTrue="1" operator="equal">
      <formula>"INPUT STARTER IN COLUMN D"</formula>
    </cfRule>
  </conditionalFormatting>
  <conditionalFormatting sqref="P50">
    <cfRule type="cellIs" dxfId="882" priority="310" stopIfTrue="1" operator="equal">
      <formula>"INPUT STARTER IN COLUMN D"</formula>
    </cfRule>
  </conditionalFormatting>
  <conditionalFormatting sqref="P51">
    <cfRule type="cellIs" dxfId="881" priority="309" stopIfTrue="1" operator="equal">
      <formula>"INPUT STARTER IN COLUMN D"</formula>
    </cfRule>
  </conditionalFormatting>
  <conditionalFormatting sqref="P52">
    <cfRule type="cellIs" dxfId="880" priority="308" stopIfTrue="1" operator="equal">
      <formula>"INPUT STARTER IN COLUMN D"</formula>
    </cfRule>
  </conditionalFormatting>
  <conditionalFormatting sqref="P53">
    <cfRule type="cellIs" dxfId="879" priority="307" stopIfTrue="1" operator="equal">
      <formula>"INPUT STARTER IN COLUMN D"</formula>
    </cfRule>
  </conditionalFormatting>
  <conditionalFormatting sqref="P54">
    <cfRule type="cellIs" dxfId="878" priority="306" stopIfTrue="1" operator="equal">
      <formula>"INPUT STARTER IN COLUMN D"</formula>
    </cfRule>
  </conditionalFormatting>
  <conditionalFormatting sqref="P56">
    <cfRule type="cellIs" dxfId="877" priority="305" stopIfTrue="1" operator="equal">
      <formula>"INPUT STARTER IN COLUMN D"</formula>
    </cfRule>
  </conditionalFormatting>
  <conditionalFormatting sqref="P57">
    <cfRule type="cellIs" dxfId="876" priority="304" stopIfTrue="1" operator="equal">
      <formula>"INPUT STARTER IN COLUMN D"</formula>
    </cfRule>
  </conditionalFormatting>
  <conditionalFormatting sqref="P58">
    <cfRule type="cellIs" dxfId="875" priority="303" stopIfTrue="1" operator="equal">
      <formula>"INPUT STARTER IN COLUMN D"</formula>
    </cfRule>
  </conditionalFormatting>
  <conditionalFormatting sqref="P59">
    <cfRule type="cellIs" dxfId="874" priority="302" stopIfTrue="1" operator="equal">
      <formula>"INPUT STARTER IN COLUMN D"</formula>
    </cfRule>
  </conditionalFormatting>
  <conditionalFormatting sqref="P60">
    <cfRule type="cellIs" dxfId="873" priority="301" stopIfTrue="1" operator="equal">
      <formula>"INPUT STARTER IN COLUMN D"</formula>
    </cfRule>
  </conditionalFormatting>
  <conditionalFormatting sqref="P61">
    <cfRule type="cellIs" dxfId="872" priority="300" stopIfTrue="1" operator="equal">
      <formula>"INPUT STARTER IN COLUMN D"</formula>
    </cfRule>
  </conditionalFormatting>
  <conditionalFormatting sqref="P63">
    <cfRule type="cellIs" dxfId="871" priority="299" stopIfTrue="1" operator="equal">
      <formula>"INPUT STARTER IN COLUMN D"</formula>
    </cfRule>
  </conditionalFormatting>
  <conditionalFormatting sqref="P64">
    <cfRule type="cellIs" dxfId="870" priority="298" stopIfTrue="1" operator="equal">
      <formula>"INPUT STARTER IN COLUMN D"</formula>
    </cfRule>
  </conditionalFormatting>
  <conditionalFormatting sqref="P65">
    <cfRule type="cellIs" dxfId="869" priority="297" stopIfTrue="1" operator="equal">
      <formula>"INPUT STARTER IN COLUMN D"</formula>
    </cfRule>
  </conditionalFormatting>
  <conditionalFormatting sqref="P66">
    <cfRule type="cellIs" dxfId="868" priority="296" stopIfTrue="1" operator="equal">
      <formula>"INPUT STARTER IN COLUMN D"</formula>
    </cfRule>
  </conditionalFormatting>
  <conditionalFormatting sqref="P67">
    <cfRule type="cellIs" dxfId="867" priority="295" stopIfTrue="1" operator="equal">
      <formula>"INPUT STARTER IN COLUMN D"</formula>
    </cfRule>
  </conditionalFormatting>
  <conditionalFormatting sqref="P68">
    <cfRule type="cellIs" dxfId="866" priority="294" stopIfTrue="1" operator="equal">
      <formula>"INPUT STARTER IN COLUMN D"</formula>
    </cfRule>
  </conditionalFormatting>
  <conditionalFormatting sqref="P69">
    <cfRule type="cellIs" dxfId="865" priority="293" stopIfTrue="1" operator="equal">
      <formula>"INPUT STARTER IN COLUMN D"</formula>
    </cfRule>
  </conditionalFormatting>
  <conditionalFormatting sqref="P71">
    <cfRule type="cellIs" dxfId="864" priority="292" stopIfTrue="1" operator="equal">
      <formula>"INPUT STARTER IN COLUMN D"</formula>
    </cfRule>
  </conditionalFormatting>
  <conditionalFormatting sqref="P72">
    <cfRule type="cellIs" dxfId="863" priority="291" stopIfTrue="1" operator="equal">
      <formula>"INPUT STARTER IN COLUMN D"</formula>
    </cfRule>
  </conditionalFormatting>
  <conditionalFormatting sqref="P73">
    <cfRule type="cellIs" dxfId="862" priority="290" stopIfTrue="1" operator="equal">
      <formula>"INPUT STARTER IN COLUMN D"</formula>
    </cfRule>
  </conditionalFormatting>
  <conditionalFormatting sqref="P74">
    <cfRule type="cellIs" dxfId="861" priority="289" stopIfTrue="1" operator="equal">
      <formula>"INPUT STARTER IN COLUMN D"</formula>
    </cfRule>
  </conditionalFormatting>
  <conditionalFormatting sqref="P75">
    <cfRule type="cellIs" dxfId="860" priority="288" stopIfTrue="1" operator="equal">
      <formula>"INPUT STARTER IN COLUMN D"</formula>
    </cfRule>
  </conditionalFormatting>
  <conditionalFormatting sqref="P76">
    <cfRule type="cellIs" dxfId="859" priority="287" stopIfTrue="1" operator="equal">
      <formula>"INPUT STARTER IN COLUMN D"</formula>
    </cfRule>
  </conditionalFormatting>
  <conditionalFormatting sqref="P77">
    <cfRule type="cellIs" dxfId="858" priority="286" stopIfTrue="1" operator="equal">
      <formula>"INPUT STARTER IN COLUMN D"</formula>
    </cfRule>
  </conditionalFormatting>
  <conditionalFormatting sqref="P78">
    <cfRule type="cellIs" dxfId="857" priority="285" stopIfTrue="1" operator="equal">
      <formula>"INPUT STARTER IN COLUMN D"</formula>
    </cfRule>
  </conditionalFormatting>
  <conditionalFormatting sqref="P79">
    <cfRule type="cellIs" dxfId="856" priority="284" stopIfTrue="1" operator="equal">
      <formula>"INPUT STARTER IN COLUMN D"</formula>
    </cfRule>
  </conditionalFormatting>
  <conditionalFormatting sqref="P80">
    <cfRule type="cellIs" dxfId="855" priority="283" stopIfTrue="1" operator="equal">
      <formula>"INPUT STARTER IN COLUMN D"</formula>
    </cfRule>
  </conditionalFormatting>
  <conditionalFormatting sqref="P81">
    <cfRule type="cellIs" dxfId="854" priority="282" stopIfTrue="1" operator="equal">
      <formula>"INPUT STARTER IN COLUMN D"</formula>
    </cfRule>
  </conditionalFormatting>
  <conditionalFormatting sqref="P82">
    <cfRule type="cellIs" dxfId="853" priority="281" stopIfTrue="1" operator="equal">
      <formula>"INPUT STARTER IN COLUMN D"</formula>
    </cfRule>
  </conditionalFormatting>
  <conditionalFormatting sqref="P84">
    <cfRule type="cellIs" dxfId="852" priority="280" stopIfTrue="1" operator="equal">
      <formula>"INPUT STARTER IN COLUMN D"</formula>
    </cfRule>
  </conditionalFormatting>
  <conditionalFormatting sqref="P85">
    <cfRule type="cellIs" dxfId="851" priority="279" stopIfTrue="1" operator="equal">
      <formula>"INPUT STARTER IN COLUMN D"</formula>
    </cfRule>
  </conditionalFormatting>
  <conditionalFormatting sqref="P86">
    <cfRule type="cellIs" dxfId="850" priority="278" stopIfTrue="1" operator="equal">
      <formula>"INPUT STARTER IN COLUMN D"</formula>
    </cfRule>
  </conditionalFormatting>
  <conditionalFormatting sqref="P87">
    <cfRule type="cellIs" dxfId="849" priority="277" stopIfTrue="1" operator="equal">
      <formula>"INPUT STARTER IN COLUMN D"</formula>
    </cfRule>
  </conditionalFormatting>
  <conditionalFormatting sqref="P88">
    <cfRule type="cellIs" dxfId="848" priority="276" stopIfTrue="1" operator="equal">
      <formula>"INPUT STARTER IN COLUMN D"</formula>
    </cfRule>
  </conditionalFormatting>
  <conditionalFormatting sqref="P89">
    <cfRule type="cellIs" dxfId="847" priority="275" stopIfTrue="1" operator="equal">
      <formula>"INPUT STARTER IN COLUMN D"</formula>
    </cfRule>
  </conditionalFormatting>
  <conditionalFormatting sqref="P91">
    <cfRule type="cellIs" dxfId="846" priority="274" stopIfTrue="1" operator="equal">
      <formula>"INPUT STARTER IN COLUMN D"</formula>
    </cfRule>
  </conditionalFormatting>
  <conditionalFormatting sqref="P92">
    <cfRule type="cellIs" dxfId="845" priority="273" stopIfTrue="1" operator="equal">
      <formula>"INPUT STARTER IN COLUMN D"</formula>
    </cfRule>
  </conditionalFormatting>
  <conditionalFormatting sqref="P93">
    <cfRule type="cellIs" dxfId="844" priority="272" stopIfTrue="1" operator="equal">
      <formula>"INPUT STARTER IN COLUMN D"</formula>
    </cfRule>
  </conditionalFormatting>
  <conditionalFormatting sqref="P94">
    <cfRule type="cellIs" dxfId="843" priority="271" stopIfTrue="1" operator="equal">
      <formula>"INPUT STARTER IN COLUMN D"</formula>
    </cfRule>
  </conditionalFormatting>
  <conditionalFormatting sqref="P95">
    <cfRule type="cellIs" dxfId="842" priority="270" stopIfTrue="1" operator="equal">
      <formula>"INPUT STARTER IN COLUMN D"</formula>
    </cfRule>
  </conditionalFormatting>
  <conditionalFormatting sqref="P96">
    <cfRule type="cellIs" dxfId="841" priority="269" stopIfTrue="1" operator="equal">
      <formula>"INPUT STARTER IN COLUMN D"</formula>
    </cfRule>
  </conditionalFormatting>
  <conditionalFormatting sqref="P97">
    <cfRule type="cellIs" dxfId="840" priority="268" stopIfTrue="1" operator="equal">
      <formula>"INPUT STARTER IN COLUMN D"</formula>
    </cfRule>
  </conditionalFormatting>
  <conditionalFormatting sqref="P98">
    <cfRule type="cellIs" dxfId="839" priority="267" stopIfTrue="1" operator="equal">
      <formula>"INPUT STARTER IN COLUMN D"</formula>
    </cfRule>
  </conditionalFormatting>
  <conditionalFormatting sqref="P99">
    <cfRule type="cellIs" dxfId="838" priority="266" stopIfTrue="1" operator="equal">
      <formula>"INPUT STARTER IN COLUMN D"</formula>
    </cfRule>
  </conditionalFormatting>
  <conditionalFormatting sqref="P100">
    <cfRule type="cellIs" dxfId="837" priority="265" stopIfTrue="1" operator="equal">
      <formula>"INPUT STARTER IN COLUMN D"</formula>
    </cfRule>
  </conditionalFormatting>
  <conditionalFormatting sqref="P101">
    <cfRule type="cellIs" dxfId="836" priority="264" stopIfTrue="1" operator="equal">
      <formula>"INPUT STARTER IN COLUMN D"</formula>
    </cfRule>
  </conditionalFormatting>
  <conditionalFormatting sqref="P102">
    <cfRule type="cellIs" dxfId="835" priority="263" stopIfTrue="1" operator="equal">
      <formula>"INPUT STARTER IN COLUMN D"</formula>
    </cfRule>
  </conditionalFormatting>
  <conditionalFormatting sqref="P106">
    <cfRule type="cellIs" dxfId="834" priority="262" stopIfTrue="1" operator="equal">
      <formula>"INPUT STARTER IN COLUMN D"</formula>
    </cfRule>
  </conditionalFormatting>
  <conditionalFormatting sqref="P107">
    <cfRule type="cellIs" dxfId="833" priority="261" stopIfTrue="1" operator="equal">
      <formula>"INPUT STARTER IN COLUMN D"</formula>
    </cfRule>
  </conditionalFormatting>
  <conditionalFormatting sqref="P108">
    <cfRule type="cellIs" dxfId="832" priority="260" stopIfTrue="1" operator="equal">
      <formula>"INPUT STARTER IN COLUMN D"</formula>
    </cfRule>
  </conditionalFormatting>
  <conditionalFormatting sqref="P109">
    <cfRule type="cellIs" dxfId="831" priority="259" stopIfTrue="1" operator="equal">
      <formula>"INPUT STARTER IN COLUMN D"</formula>
    </cfRule>
  </conditionalFormatting>
  <conditionalFormatting sqref="P110">
    <cfRule type="cellIs" dxfId="830" priority="258" stopIfTrue="1" operator="equal">
      <formula>"INPUT STARTER IN COLUMN D"</formula>
    </cfRule>
  </conditionalFormatting>
  <conditionalFormatting sqref="P111">
    <cfRule type="cellIs" dxfId="829" priority="257" stopIfTrue="1" operator="equal">
      <formula>"INPUT STARTER IN COLUMN D"</formula>
    </cfRule>
  </conditionalFormatting>
  <conditionalFormatting sqref="P112">
    <cfRule type="cellIs" dxfId="828" priority="256" stopIfTrue="1" operator="equal">
      <formula>"INPUT STARTER IN COLUMN D"</formula>
    </cfRule>
  </conditionalFormatting>
  <conditionalFormatting sqref="P113">
    <cfRule type="cellIs" dxfId="827" priority="255" stopIfTrue="1" operator="equal">
      <formula>"INPUT STARTER IN COLUMN D"</formula>
    </cfRule>
  </conditionalFormatting>
  <conditionalFormatting sqref="P114">
    <cfRule type="cellIs" dxfId="826" priority="254" stopIfTrue="1" operator="equal">
      <formula>"INPUT STARTER IN COLUMN D"</formula>
    </cfRule>
  </conditionalFormatting>
  <conditionalFormatting sqref="P115">
    <cfRule type="cellIs" dxfId="825" priority="253" stopIfTrue="1" operator="equal">
      <formula>"INPUT STARTER IN COLUMN D"</formula>
    </cfRule>
  </conditionalFormatting>
  <conditionalFormatting sqref="P116">
    <cfRule type="cellIs" dxfId="824" priority="252" stopIfTrue="1" operator="equal">
      <formula>"INPUT STARTER IN COLUMN D"</formula>
    </cfRule>
  </conditionalFormatting>
  <conditionalFormatting sqref="P117">
    <cfRule type="cellIs" dxfId="823" priority="251" stopIfTrue="1" operator="equal">
      <formula>"INPUT STARTER IN COLUMN D"</formula>
    </cfRule>
  </conditionalFormatting>
  <conditionalFormatting sqref="P118">
    <cfRule type="cellIs" dxfId="822" priority="250" stopIfTrue="1" operator="equal">
      <formula>"INPUT STARTER IN COLUMN D"</formula>
    </cfRule>
  </conditionalFormatting>
  <conditionalFormatting sqref="P119">
    <cfRule type="cellIs" dxfId="821" priority="249" stopIfTrue="1" operator="equal">
      <formula>"INPUT STARTER IN COLUMN D"</formula>
    </cfRule>
  </conditionalFormatting>
  <conditionalFormatting sqref="P120">
    <cfRule type="cellIs" dxfId="820" priority="248" stopIfTrue="1" operator="equal">
      <formula>"INPUT STARTER IN COLUMN D"</formula>
    </cfRule>
  </conditionalFormatting>
  <conditionalFormatting sqref="P121">
    <cfRule type="cellIs" dxfId="819" priority="247" stopIfTrue="1" operator="equal">
      <formula>"INPUT STARTER IN COLUMN D"</formula>
    </cfRule>
  </conditionalFormatting>
  <conditionalFormatting sqref="P122">
    <cfRule type="cellIs" dxfId="818" priority="246" stopIfTrue="1" operator="equal">
      <formula>"INPUT STARTER IN COLUMN D"</formula>
    </cfRule>
  </conditionalFormatting>
  <conditionalFormatting sqref="P123">
    <cfRule type="cellIs" dxfId="817" priority="245" stopIfTrue="1" operator="equal">
      <formula>"INPUT STARTER IN COLUMN D"</formula>
    </cfRule>
  </conditionalFormatting>
  <conditionalFormatting sqref="P125">
    <cfRule type="cellIs" dxfId="816" priority="244" stopIfTrue="1" operator="equal">
      <formula>"INPUT STARTER IN COLUMN D"</formula>
    </cfRule>
  </conditionalFormatting>
  <conditionalFormatting sqref="P126">
    <cfRule type="cellIs" dxfId="815" priority="243" stopIfTrue="1" operator="equal">
      <formula>"INPUT STARTER IN COLUMN D"</formula>
    </cfRule>
  </conditionalFormatting>
  <conditionalFormatting sqref="P127">
    <cfRule type="cellIs" dxfId="814" priority="242" stopIfTrue="1" operator="equal">
      <formula>"INPUT STARTER IN COLUMN D"</formula>
    </cfRule>
  </conditionalFormatting>
  <conditionalFormatting sqref="P128">
    <cfRule type="cellIs" dxfId="813" priority="241" stopIfTrue="1" operator="equal">
      <formula>"INPUT STARTER IN COLUMN D"</formula>
    </cfRule>
  </conditionalFormatting>
  <conditionalFormatting sqref="P129">
    <cfRule type="cellIs" dxfId="812" priority="240" stopIfTrue="1" operator="equal">
      <formula>"INPUT STARTER IN COLUMN D"</formula>
    </cfRule>
  </conditionalFormatting>
  <conditionalFormatting sqref="P130">
    <cfRule type="cellIs" dxfId="811" priority="239" stopIfTrue="1" operator="equal">
      <formula>"INPUT STARTER IN COLUMN D"</formula>
    </cfRule>
  </conditionalFormatting>
  <conditionalFormatting sqref="P131">
    <cfRule type="cellIs" dxfId="810" priority="238" stopIfTrue="1" operator="equal">
      <formula>"INPUT STARTER IN COLUMN D"</formula>
    </cfRule>
  </conditionalFormatting>
  <conditionalFormatting sqref="P132">
    <cfRule type="cellIs" dxfId="809" priority="237" stopIfTrue="1" operator="equal">
      <formula>"INPUT STARTER IN COLUMN D"</formula>
    </cfRule>
  </conditionalFormatting>
  <conditionalFormatting sqref="P133">
    <cfRule type="cellIs" dxfId="808" priority="236" stopIfTrue="1" operator="equal">
      <formula>"INPUT STARTER IN COLUMN D"</formula>
    </cfRule>
  </conditionalFormatting>
  <conditionalFormatting sqref="P134">
    <cfRule type="cellIs" dxfId="807" priority="235" stopIfTrue="1" operator="equal">
      <formula>"INPUT STARTER IN COLUMN D"</formula>
    </cfRule>
  </conditionalFormatting>
  <conditionalFormatting sqref="P135">
    <cfRule type="cellIs" dxfId="806" priority="234" stopIfTrue="1" operator="equal">
      <formula>"INPUT STARTER IN COLUMN D"</formula>
    </cfRule>
  </conditionalFormatting>
  <conditionalFormatting sqref="P136">
    <cfRule type="cellIs" dxfId="805" priority="233" stopIfTrue="1" operator="equal">
      <formula>"INPUT STARTER IN COLUMN D"</formula>
    </cfRule>
  </conditionalFormatting>
  <conditionalFormatting sqref="P137">
    <cfRule type="cellIs" dxfId="804" priority="232" stopIfTrue="1" operator="equal">
      <formula>"INPUT STARTER IN COLUMN D"</formula>
    </cfRule>
  </conditionalFormatting>
  <conditionalFormatting sqref="P139">
    <cfRule type="cellIs" dxfId="803" priority="231" stopIfTrue="1" operator="equal">
      <formula>"INPUT STARTER IN COLUMN D"</formula>
    </cfRule>
  </conditionalFormatting>
  <conditionalFormatting sqref="P140">
    <cfRule type="cellIs" dxfId="802" priority="230" stopIfTrue="1" operator="equal">
      <formula>"INPUT STARTER IN COLUMN D"</formula>
    </cfRule>
  </conditionalFormatting>
  <conditionalFormatting sqref="P141">
    <cfRule type="cellIs" dxfId="801" priority="229" stopIfTrue="1" operator="equal">
      <formula>"INPUT STARTER IN COLUMN D"</formula>
    </cfRule>
  </conditionalFormatting>
  <conditionalFormatting sqref="P142">
    <cfRule type="cellIs" dxfId="800" priority="228" stopIfTrue="1" operator="equal">
      <formula>"INPUT STARTER IN COLUMN D"</formula>
    </cfRule>
  </conditionalFormatting>
  <conditionalFormatting sqref="P143">
    <cfRule type="cellIs" dxfId="799" priority="227" stopIfTrue="1" operator="equal">
      <formula>"INPUT STARTER IN COLUMN D"</formula>
    </cfRule>
  </conditionalFormatting>
  <conditionalFormatting sqref="P144">
    <cfRule type="cellIs" dxfId="798" priority="226" stopIfTrue="1" operator="equal">
      <formula>"INPUT STARTER IN COLUMN D"</formula>
    </cfRule>
  </conditionalFormatting>
  <conditionalFormatting sqref="P145">
    <cfRule type="cellIs" dxfId="797" priority="225" stopIfTrue="1" operator="equal">
      <formula>"INPUT STARTER IN COLUMN D"</formula>
    </cfRule>
  </conditionalFormatting>
  <conditionalFormatting sqref="P146">
    <cfRule type="cellIs" dxfId="796" priority="224" stopIfTrue="1" operator="equal">
      <formula>"INPUT STARTER IN COLUMN D"</formula>
    </cfRule>
  </conditionalFormatting>
  <conditionalFormatting sqref="P147">
    <cfRule type="cellIs" dxfId="795" priority="223" stopIfTrue="1" operator="equal">
      <formula>"INPUT STARTER IN COLUMN D"</formula>
    </cfRule>
  </conditionalFormatting>
  <conditionalFormatting sqref="P148">
    <cfRule type="cellIs" dxfId="794" priority="222" stopIfTrue="1" operator="equal">
      <formula>"INPUT STARTER IN COLUMN D"</formula>
    </cfRule>
  </conditionalFormatting>
  <conditionalFormatting sqref="P149">
    <cfRule type="cellIs" dxfId="793" priority="221" stopIfTrue="1" operator="equal">
      <formula>"INPUT STARTER IN COLUMN D"</formula>
    </cfRule>
  </conditionalFormatting>
  <conditionalFormatting sqref="P150">
    <cfRule type="cellIs" dxfId="792" priority="220" stopIfTrue="1" operator="equal">
      <formula>"INPUT STARTER IN COLUMN D"</formula>
    </cfRule>
  </conditionalFormatting>
  <conditionalFormatting sqref="P151">
    <cfRule type="cellIs" dxfId="791" priority="219" stopIfTrue="1" operator="equal">
      <formula>"INPUT STARTER IN COLUMN D"</formula>
    </cfRule>
  </conditionalFormatting>
  <conditionalFormatting sqref="P152">
    <cfRule type="cellIs" dxfId="790" priority="218" stopIfTrue="1" operator="equal">
      <formula>"INPUT STARTER IN COLUMN D"</formula>
    </cfRule>
  </conditionalFormatting>
  <conditionalFormatting sqref="P153">
    <cfRule type="cellIs" dxfId="789" priority="217" stopIfTrue="1" operator="equal">
      <formula>"INPUT STARTER IN COLUMN D"</formula>
    </cfRule>
  </conditionalFormatting>
  <conditionalFormatting sqref="P154">
    <cfRule type="cellIs" dxfId="788" priority="216" stopIfTrue="1" operator="equal">
      <formula>"INPUT STARTER IN COLUMN D"</formula>
    </cfRule>
  </conditionalFormatting>
  <conditionalFormatting sqref="P155">
    <cfRule type="cellIs" dxfId="787" priority="215" stopIfTrue="1" operator="equal">
      <formula>"INPUT STARTER IN COLUMN D"</formula>
    </cfRule>
  </conditionalFormatting>
  <conditionalFormatting sqref="P157">
    <cfRule type="cellIs" dxfId="786" priority="214" stopIfTrue="1" operator="equal">
      <formula>"INPUT STARTER IN COLUMN D"</formula>
    </cfRule>
  </conditionalFormatting>
  <conditionalFormatting sqref="P158">
    <cfRule type="cellIs" dxfId="785" priority="213" stopIfTrue="1" operator="equal">
      <formula>"INPUT STARTER IN COLUMN D"</formula>
    </cfRule>
  </conditionalFormatting>
  <conditionalFormatting sqref="P159">
    <cfRule type="cellIs" dxfId="784" priority="212" stopIfTrue="1" operator="equal">
      <formula>"INPUT STARTER IN COLUMN D"</formula>
    </cfRule>
  </conditionalFormatting>
  <conditionalFormatting sqref="P160">
    <cfRule type="cellIs" dxfId="783" priority="211" stopIfTrue="1" operator="equal">
      <formula>"INPUT STARTER IN COLUMN D"</formula>
    </cfRule>
  </conditionalFormatting>
  <conditionalFormatting sqref="P161">
    <cfRule type="cellIs" dxfId="782" priority="210" stopIfTrue="1" operator="equal">
      <formula>"INPUT STARTER IN COLUMN D"</formula>
    </cfRule>
  </conditionalFormatting>
  <conditionalFormatting sqref="P162">
    <cfRule type="cellIs" dxfId="781" priority="209" stopIfTrue="1" operator="equal">
      <formula>"INPUT STARTER IN COLUMN D"</formula>
    </cfRule>
  </conditionalFormatting>
  <conditionalFormatting sqref="P163">
    <cfRule type="cellIs" dxfId="780" priority="208" stopIfTrue="1" operator="equal">
      <formula>"INPUT STARTER IN COLUMN D"</formula>
    </cfRule>
  </conditionalFormatting>
  <conditionalFormatting sqref="P165">
    <cfRule type="cellIs" dxfId="779" priority="207" stopIfTrue="1" operator="equal">
      <formula>"INPUT STARTER IN COLUMN D"</formula>
    </cfRule>
  </conditionalFormatting>
  <conditionalFormatting sqref="P166">
    <cfRule type="cellIs" dxfId="778" priority="206" stopIfTrue="1" operator="equal">
      <formula>"INPUT STARTER IN COLUMN D"</formula>
    </cfRule>
  </conditionalFormatting>
  <conditionalFormatting sqref="P167">
    <cfRule type="cellIs" dxfId="777" priority="205" stopIfTrue="1" operator="equal">
      <formula>"INPUT STARTER IN COLUMN D"</formula>
    </cfRule>
  </conditionalFormatting>
  <conditionalFormatting sqref="P168">
    <cfRule type="cellIs" dxfId="776" priority="204" stopIfTrue="1" operator="equal">
      <formula>"INPUT STARTER IN COLUMN D"</formula>
    </cfRule>
  </conditionalFormatting>
  <conditionalFormatting sqref="P169">
    <cfRule type="cellIs" dxfId="775" priority="203" stopIfTrue="1" operator="equal">
      <formula>"INPUT STARTER IN COLUMN D"</formula>
    </cfRule>
  </conditionalFormatting>
  <conditionalFormatting sqref="P170">
    <cfRule type="cellIs" dxfId="774" priority="202" stopIfTrue="1" operator="equal">
      <formula>"INPUT STARTER IN COLUMN D"</formula>
    </cfRule>
  </conditionalFormatting>
  <conditionalFormatting sqref="P171">
    <cfRule type="cellIs" dxfId="773" priority="201" stopIfTrue="1" operator="equal">
      <formula>"INPUT STARTER IN COLUMN D"</formula>
    </cfRule>
  </conditionalFormatting>
  <conditionalFormatting sqref="P172">
    <cfRule type="cellIs" dxfId="772" priority="200" stopIfTrue="1" operator="equal">
      <formula>"INPUT STARTER IN COLUMN D"</formula>
    </cfRule>
  </conditionalFormatting>
  <conditionalFormatting sqref="P173">
    <cfRule type="cellIs" dxfId="771" priority="199" stopIfTrue="1" operator="equal">
      <formula>"INPUT STARTER IN COLUMN D"</formula>
    </cfRule>
  </conditionalFormatting>
  <conditionalFormatting sqref="P174">
    <cfRule type="cellIs" dxfId="770" priority="198" stopIfTrue="1" operator="equal">
      <formula>"INPUT STARTER IN COLUMN D"</formula>
    </cfRule>
  </conditionalFormatting>
  <conditionalFormatting sqref="P176">
    <cfRule type="cellIs" dxfId="769" priority="197" stopIfTrue="1" operator="equal">
      <formula>"INPUT STARTER IN COLUMN D"</formula>
    </cfRule>
  </conditionalFormatting>
  <conditionalFormatting sqref="P177">
    <cfRule type="cellIs" dxfId="768" priority="196" stopIfTrue="1" operator="equal">
      <formula>"INPUT STARTER IN COLUMN D"</formula>
    </cfRule>
  </conditionalFormatting>
  <conditionalFormatting sqref="P178">
    <cfRule type="cellIs" dxfId="767" priority="195" stopIfTrue="1" operator="equal">
      <formula>"INPUT STARTER IN COLUMN D"</formula>
    </cfRule>
  </conditionalFormatting>
  <conditionalFormatting sqref="P179">
    <cfRule type="cellIs" dxfId="766" priority="194" stopIfTrue="1" operator="equal">
      <formula>"INPUT STARTER IN COLUMN D"</formula>
    </cfRule>
  </conditionalFormatting>
  <conditionalFormatting sqref="P180">
    <cfRule type="cellIs" dxfId="765" priority="193" stopIfTrue="1" operator="equal">
      <formula>"INPUT STARTER IN COLUMN D"</formula>
    </cfRule>
  </conditionalFormatting>
  <conditionalFormatting sqref="P181">
    <cfRule type="cellIs" dxfId="764" priority="192" stopIfTrue="1" operator="equal">
      <formula>"INPUT STARTER IN COLUMN D"</formula>
    </cfRule>
  </conditionalFormatting>
  <conditionalFormatting sqref="P182">
    <cfRule type="cellIs" dxfId="763" priority="191" stopIfTrue="1" operator="equal">
      <formula>"INPUT STARTER IN COLUMN D"</formula>
    </cfRule>
  </conditionalFormatting>
  <conditionalFormatting sqref="P183">
    <cfRule type="cellIs" dxfId="762" priority="190" stopIfTrue="1" operator="equal">
      <formula>"INPUT STARTER IN COLUMN D"</formula>
    </cfRule>
  </conditionalFormatting>
  <conditionalFormatting sqref="P184">
    <cfRule type="cellIs" dxfId="761" priority="189" stopIfTrue="1" operator="equal">
      <formula>"INPUT STARTER IN COLUMN D"</formula>
    </cfRule>
  </conditionalFormatting>
  <conditionalFormatting sqref="P185">
    <cfRule type="cellIs" dxfId="760" priority="188" stopIfTrue="1" operator="equal">
      <formula>"INPUT STARTER IN COLUMN D"</formula>
    </cfRule>
  </conditionalFormatting>
  <conditionalFormatting sqref="AK3:AK22">
    <cfRule type="cellIs" dxfId="759" priority="187" stopIfTrue="1" operator="equal">
      <formula>"must average at least 5 innings per start"</formula>
    </cfRule>
  </conditionalFormatting>
  <conditionalFormatting sqref="AK23">
    <cfRule type="cellIs" dxfId="758" priority="186" stopIfTrue="1" operator="equal">
      <formula>"must have 162 starts"</formula>
    </cfRule>
  </conditionalFormatting>
  <conditionalFormatting sqref="AH3:AH22">
    <cfRule type="cellIs" dxfId="757" priority="185" stopIfTrue="1" operator="equal">
      <formula>"must average at least 5 innings per start"</formula>
    </cfRule>
  </conditionalFormatting>
  <conditionalFormatting sqref="AH23">
    <cfRule type="cellIs" dxfId="756" priority="184" stopIfTrue="1" operator="equal">
      <formula>"must have 162 starts"</formula>
    </cfRule>
  </conditionalFormatting>
  <conditionalFormatting sqref="AG3:AG22">
    <cfRule type="cellIs" dxfId="755" priority="183" stopIfTrue="1" operator="equal">
      <formula>"must average at least 5 innings per start"</formula>
    </cfRule>
  </conditionalFormatting>
  <conditionalFormatting sqref="AG23">
    <cfRule type="cellIs" dxfId="754" priority="182" stopIfTrue="1" operator="equal">
      <formula>"must have 162 starts"</formula>
    </cfRule>
  </conditionalFormatting>
  <conditionalFormatting sqref="AK3:AK22">
    <cfRule type="cellIs" dxfId="753" priority="181" stopIfTrue="1" operator="equal">
      <formula>"must average at least 5 innings per start"</formula>
    </cfRule>
  </conditionalFormatting>
  <conditionalFormatting sqref="AK23">
    <cfRule type="cellIs" dxfId="752" priority="180" stopIfTrue="1" operator="equal">
      <formula>"must have 162 starts"</formula>
    </cfRule>
  </conditionalFormatting>
  <conditionalFormatting sqref="AH3:AH22">
    <cfRule type="cellIs" dxfId="751" priority="179" stopIfTrue="1" operator="equal">
      <formula>"must average at least 5 innings per start"</formula>
    </cfRule>
  </conditionalFormatting>
  <conditionalFormatting sqref="AH23">
    <cfRule type="cellIs" dxfId="750" priority="178" stopIfTrue="1" operator="equal">
      <formula>"must have 162 starts"</formula>
    </cfRule>
  </conditionalFormatting>
  <conditionalFormatting sqref="AG3:AG22">
    <cfRule type="cellIs" dxfId="749" priority="177" stopIfTrue="1" operator="equal">
      <formula>"must average at least 5 innings per start"</formula>
    </cfRule>
  </conditionalFormatting>
  <conditionalFormatting sqref="AG23">
    <cfRule type="cellIs" dxfId="748" priority="176" stopIfTrue="1" operator="equal">
      <formula>"must have 162 starts"</formula>
    </cfRule>
  </conditionalFormatting>
  <conditionalFormatting sqref="AK3:AK22">
    <cfRule type="cellIs" dxfId="747" priority="175" stopIfTrue="1" operator="equal">
      <formula>"must average at least 5 innings per start"</formula>
    </cfRule>
  </conditionalFormatting>
  <conditionalFormatting sqref="AK23">
    <cfRule type="cellIs" dxfId="746" priority="174" stopIfTrue="1" operator="equal">
      <formula>"must have 162 starts"</formula>
    </cfRule>
  </conditionalFormatting>
  <conditionalFormatting sqref="AH3:AH22">
    <cfRule type="cellIs" dxfId="745" priority="173" stopIfTrue="1" operator="equal">
      <formula>"must average at least 5 innings per start"</formula>
    </cfRule>
  </conditionalFormatting>
  <conditionalFormatting sqref="AH23">
    <cfRule type="cellIs" dxfId="744" priority="172" stopIfTrue="1" operator="equal">
      <formula>"must have 162 starts"</formula>
    </cfRule>
  </conditionalFormatting>
  <conditionalFormatting sqref="AG3:AG22">
    <cfRule type="cellIs" dxfId="743" priority="171" stopIfTrue="1" operator="equal">
      <formula>"must average at least 5 innings per start"</formula>
    </cfRule>
  </conditionalFormatting>
  <conditionalFormatting sqref="AG23">
    <cfRule type="cellIs" dxfId="742" priority="170" stopIfTrue="1" operator="equal">
      <formula>"must have 162 starts"</formula>
    </cfRule>
  </conditionalFormatting>
  <conditionalFormatting sqref="AK3:AK22">
    <cfRule type="cellIs" dxfId="741" priority="169" stopIfTrue="1" operator="equal">
      <formula>"must average at least 5 innings per start"</formula>
    </cfRule>
  </conditionalFormatting>
  <conditionalFormatting sqref="AK23">
    <cfRule type="cellIs" dxfId="740" priority="168" stopIfTrue="1" operator="equal">
      <formula>"must have 162 starts"</formula>
    </cfRule>
  </conditionalFormatting>
  <conditionalFormatting sqref="AH3:AH22">
    <cfRule type="cellIs" dxfId="739" priority="167" stopIfTrue="1" operator="equal">
      <formula>"must average at least 5 innings per start"</formula>
    </cfRule>
  </conditionalFormatting>
  <conditionalFormatting sqref="AH23">
    <cfRule type="cellIs" dxfId="738" priority="166" stopIfTrue="1" operator="equal">
      <formula>"must have 162 starts"</formula>
    </cfRule>
  </conditionalFormatting>
  <conditionalFormatting sqref="AG3:AG22">
    <cfRule type="cellIs" dxfId="737" priority="165" stopIfTrue="1" operator="equal">
      <formula>"must average at least 5 innings per start"</formula>
    </cfRule>
  </conditionalFormatting>
  <conditionalFormatting sqref="AG23">
    <cfRule type="cellIs" dxfId="736" priority="164" stopIfTrue="1" operator="equal">
      <formula>"must have 162 starts"</formula>
    </cfRule>
  </conditionalFormatting>
  <conditionalFormatting sqref="AK3:AK22">
    <cfRule type="cellIs" dxfId="735" priority="163" stopIfTrue="1" operator="equal">
      <formula>"must average at least 5 innings per start"</formula>
    </cfRule>
  </conditionalFormatting>
  <conditionalFormatting sqref="AK23">
    <cfRule type="cellIs" dxfId="734" priority="162" stopIfTrue="1" operator="equal">
      <formula>"must have 162 starts"</formula>
    </cfRule>
  </conditionalFormatting>
  <conditionalFormatting sqref="AH3:AH22">
    <cfRule type="cellIs" dxfId="733" priority="161" stopIfTrue="1" operator="equal">
      <formula>"must average at least 5 innings per start"</formula>
    </cfRule>
  </conditionalFormatting>
  <conditionalFormatting sqref="AH23">
    <cfRule type="cellIs" dxfId="732" priority="160" stopIfTrue="1" operator="equal">
      <formula>"must have 162 starts"</formula>
    </cfRule>
  </conditionalFormatting>
  <conditionalFormatting sqref="AG3:AG22">
    <cfRule type="cellIs" dxfId="731" priority="159" stopIfTrue="1" operator="equal">
      <formula>"must average at least 5 innings per start"</formula>
    </cfRule>
  </conditionalFormatting>
  <conditionalFormatting sqref="AG23">
    <cfRule type="cellIs" dxfId="730" priority="158" stopIfTrue="1" operator="equal">
      <formula>"must have 162 starts"</formula>
    </cfRule>
  </conditionalFormatting>
  <conditionalFormatting sqref="AK3:AK22">
    <cfRule type="cellIs" dxfId="729" priority="157" stopIfTrue="1" operator="equal">
      <formula>"must average at least 5 innings per start"</formula>
    </cfRule>
  </conditionalFormatting>
  <conditionalFormatting sqref="AK23">
    <cfRule type="cellIs" dxfId="728" priority="156" stopIfTrue="1" operator="equal">
      <formula>"must have 162 starts"</formula>
    </cfRule>
  </conditionalFormatting>
  <conditionalFormatting sqref="AH3:AH22">
    <cfRule type="cellIs" dxfId="727" priority="155" stopIfTrue="1" operator="equal">
      <formula>"must average at least 5 innings per start"</formula>
    </cfRule>
  </conditionalFormatting>
  <conditionalFormatting sqref="AH23">
    <cfRule type="cellIs" dxfId="726" priority="154" stopIfTrue="1" operator="equal">
      <formula>"must have 162 starts"</formula>
    </cfRule>
  </conditionalFormatting>
  <conditionalFormatting sqref="AG3:AG22">
    <cfRule type="cellIs" dxfId="725" priority="153" stopIfTrue="1" operator="equal">
      <formula>"must average at least 5 innings per start"</formula>
    </cfRule>
  </conditionalFormatting>
  <conditionalFormatting sqref="AG23">
    <cfRule type="cellIs" dxfId="724" priority="152" stopIfTrue="1" operator="equal">
      <formula>"must have 162 starts"</formula>
    </cfRule>
  </conditionalFormatting>
  <conditionalFormatting sqref="AK3:AK22">
    <cfRule type="cellIs" dxfId="723" priority="151" stopIfTrue="1" operator="equal">
      <formula>"must average at least 5 innings per start"</formula>
    </cfRule>
  </conditionalFormatting>
  <conditionalFormatting sqref="AK23">
    <cfRule type="cellIs" dxfId="722" priority="150" stopIfTrue="1" operator="equal">
      <formula>"must have 162 starts"</formula>
    </cfRule>
  </conditionalFormatting>
  <conditionalFormatting sqref="AH3:AH22">
    <cfRule type="cellIs" dxfId="721" priority="149" stopIfTrue="1" operator="equal">
      <formula>"must average at least 5 innings per start"</formula>
    </cfRule>
  </conditionalFormatting>
  <conditionalFormatting sqref="AH23">
    <cfRule type="cellIs" dxfId="720" priority="148" stopIfTrue="1" operator="equal">
      <formula>"must have 162 starts"</formula>
    </cfRule>
  </conditionalFormatting>
  <conditionalFormatting sqref="AG3:AG22">
    <cfRule type="cellIs" dxfId="719" priority="147" stopIfTrue="1" operator="equal">
      <formula>"must average at least 5 innings per start"</formula>
    </cfRule>
  </conditionalFormatting>
  <conditionalFormatting sqref="AG23">
    <cfRule type="cellIs" dxfId="718" priority="146" stopIfTrue="1" operator="equal">
      <formula>"must have 162 starts"</formula>
    </cfRule>
  </conditionalFormatting>
  <conditionalFormatting sqref="AK3:AK22">
    <cfRule type="cellIs" dxfId="717" priority="145" stopIfTrue="1" operator="equal">
      <formula>"must average at least 5 innings per start"</formula>
    </cfRule>
  </conditionalFormatting>
  <conditionalFormatting sqref="AK23">
    <cfRule type="cellIs" dxfId="716" priority="144" stopIfTrue="1" operator="equal">
      <formula>"must have 162 starts"</formula>
    </cfRule>
  </conditionalFormatting>
  <conditionalFormatting sqref="AH3:AH22">
    <cfRule type="cellIs" dxfId="715" priority="143" stopIfTrue="1" operator="equal">
      <formula>"must average at least 5 innings per start"</formula>
    </cfRule>
  </conditionalFormatting>
  <conditionalFormatting sqref="AH23">
    <cfRule type="cellIs" dxfId="714" priority="142" stopIfTrue="1" operator="equal">
      <formula>"must have 162 starts"</formula>
    </cfRule>
  </conditionalFormatting>
  <conditionalFormatting sqref="AG3:AG22">
    <cfRule type="cellIs" dxfId="713" priority="141" stopIfTrue="1" operator="equal">
      <formula>"must average at least 5 innings per start"</formula>
    </cfRule>
  </conditionalFormatting>
  <conditionalFormatting sqref="AG23">
    <cfRule type="cellIs" dxfId="712" priority="140" stopIfTrue="1" operator="equal">
      <formula>"must have 162 starts"</formula>
    </cfRule>
  </conditionalFormatting>
  <conditionalFormatting sqref="AK3:AK22">
    <cfRule type="cellIs" dxfId="711" priority="139" stopIfTrue="1" operator="equal">
      <formula>"must average at least 5 innings per start"</formula>
    </cfRule>
  </conditionalFormatting>
  <conditionalFormatting sqref="AK23">
    <cfRule type="cellIs" dxfId="710" priority="138" stopIfTrue="1" operator="equal">
      <formula>"must have 162 starts"</formula>
    </cfRule>
  </conditionalFormatting>
  <conditionalFormatting sqref="AH3:AH22">
    <cfRule type="cellIs" dxfId="709" priority="137" stopIfTrue="1" operator="equal">
      <formula>"must average at least 5 innings per start"</formula>
    </cfRule>
  </conditionalFormatting>
  <conditionalFormatting sqref="AH23">
    <cfRule type="cellIs" dxfId="708" priority="136" stopIfTrue="1" operator="equal">
      <formula>"must have 162 starts"</formula>
    </cfRule>
  </conditionalFormatting>
  <conditionalFormatting sqref="AG3:AG22">
    <cfRule type="cellIs" dxfId="707" priority="135" stopIfTrue="1" operator="equal">
      <formula>"must average at least 5 innings per start"</formula>
    </cfRule>
  </conditionalFormatting>
  <conditionalFormatting sqref="AG23">
    <cfRule type="cellIs" dxfId="706" priority="134" stopIfTrue="1" operator="equal">
      <formula>"must have 162 starts"</formula>
    </cfRule>
  </conditionalFormatting>
  <conditionalFormatting sqref="AK3:AK22">
    <cfRule type="cellIs" dxfId="705" priority="133" stopIfTrue="1" operator="equal">
      <formula>"must average at least 5 innings per start"</formula>
    </cfRule>
  </conditionalFormatting>
  <conditionalFormatting sqref="AK23">
    <cfRule type="cellIs" dxfId="704" priority="132" stopIfTrue="1" operator="equal">
      <formula>"must have 162 starts"</formula>
    </cfRule>
  </conditionalFormatting>
  <conditionalFormatting sqref="AH3:AH22">
    <cfRule type="cellIs" dxfId="703" priority="131" stopIfTrue="1" operator="equal">
      <formula>"must average at least 5 innings per start"</formula>
    </cfRule>
  </conditionalFormatting>
  <conditionalFormatting sqref="AH23">
    <cfRule type="cellIs" dxfId="702" priority="130" stopIfTrue="1" operator="equal">
      <formula>"must have 162 starts"</formula>
    </cfRule>
  </conditionalFormatting>
  <conditionalFormatting sqref="AG3:AG22">
    <cfRule type="cellIs" dxfId="701" priority="129" stopIfTrue="1" operator="equal">
      <formula>"must average at least 5 innings per start"</formula>
    </cfRule>
  </conditionalFormatting>
  <conditionalFormatting sqref="AG23">
    <cfRule type="cellIs" dxfId="700" priority="128" stopIfTrue="1" operator="equal">
      <formula>"must have 162 starts"</formula>
    </cfRule>
  </conditionalFormatting>
  <conditionalFormatting sqref="AK3:AK22">
    <cfRule type="cellIs" dxfId="699" priority="127" stopIfTrue="1" operator="equal">
      <formula>"must average at least 5 innings per start"</formula>
    </cfRule>
  </conditionalFormatting>
  <conditionalFormatting sqref="AK23">
    <cfRule type="cellIs" dxfId="698" priority="126" stopIfTrue="1" operator="equal">
      <formula>"must have 162 starts"</formula>
    </cfRule>
  </conditionalFormatting>
  <conditionalFormatting sqref="AH3:AH22">
    <cfRule type="cellIs" dxfId="697" priority="125" stopIfTrue="1" operator="equal">
      <formula>"must average at least 5 innings per start"</formula>
    </cfRule>
  </conditionalFormatting>
  <conditionalFormatting sqref="AH23">
    <cfRule type="cellIs" dxfId="696" priority="124" stopIfTrue="1" operator="equal">
      <formula>"must have 162 starts"</formula>
    </cfRule>
  </conditionalFormatting>
  <conditionalFormatting sqref="AG3:AG22">
    <cfRule type="cellIs" dxfId="695" priority="123" stopIfTrue="1" operator="equal">
      <formula>"must average at least 5 innings per start"</formula>
    </cfRule>
  </conditionalFormatting>
  <conditionalFormatting sqref="AG23">
    <cfRule type="cellIs" dxfId="694" priority="122" stopIfTrue="1" operator="equal">
      <formula>"must have 162 starts"</formula>
    </cfRule>
  </conditionalFormatting>
  <conditionalFormatting sqref="AK3:AK22">
    <cfRule type="cellIs" dxfId="693" priority="121" stopIfTrue="1" operator="equal">
      <formula>"must average at least 5 innings per start"</formula>
    </cfRule>
  </conditionalFormatting>
  <conditionalFormatting sqref="AK23">
    <cfRule type="cellIs" dxfId="692" priority="120" stopIfTrue="1" operator="equal">
      <formula>"must have 162 starts"</formula>
    </cfRule>
  </conditionalFormatting>
  <conditionalFormatting sqref="AH3:AH22">
    <cfRule type="cellIs" dxfId="691" priority="119" stopIfTrue="1" operator="equal">
      <formula>"must average at least 5 innings per start"</formula>
    </cfRule>
  </conditionalFormatting>
  <conditionalFormatting sqref="AH23">
    <cfRule type="cellIs" dxfId="690" priority="118" stopIfTrue="1" operator="equal">
      <formula>"must have 162 starts"</formula>
    </cfRule>
  </conditionalFormatting>
  <conditionalFormatting sqref="AG3:AG22">
    <cfRule type="cellIs" dxfId="689" priority="117" stopIfTrue="1" operator="equal">
      <formula>"must average at least 5 innings per start"</formula>
    </cfRule>
  </conditionalFormatting>
  <conditionalFormatting sqref="AG23">
    <cfRule type="cellIs" dxfId="688" priority="116" stopIfTrue="1" operator="equal">
      <formula>"must have 162 starts"</formula>
    </cfRule>
  </conditionalFormatting>
  <conditionalFormatting sqref="AK3:AK22">
    <cfRule type="cellIs" dxfId="687" priority="115" stopIfTrue="1" operator="equal">
      <formula>"must average at least 5 innings per start"</formula>
    </cfRule>
  </conditionalFormatting>
  <conditionalFormatting sqref="AK23">
    <cfRule type="cellIs" dxfId="686" priority="114" stopIfTrue="1" operator="equal">
      <formula>"must have 162 starts"</formula>
    </cfRule>
  </conditionalFormatting>
  <conditionalFormatting sqref="AH3:AH22">
    <cfRule type="cellIs" dxfId="685" priority="113" stopIfTrue="1" operator="equal">
      <formula>"must average at least 5 innings per start"</formula>
    </cfRule>
  </conditionalFormatting>
  <conditionalFormatting sqref="AH23">
    <cfRule type="cellIs" dxfId="684" priority="112" stopIfTrue="1" operator="equal">
      <formula>"must have 162 starts"</formula>
    </cfRule>
  </conditionalFormatting>
  <conditionalFormatting sqref="AG3:AG22">
    <cfRule type="cellIs" dxfId="683" priority="111" stopIfTrue="1" operator="equal">
      <formula>"must average at least 5 innings per start"</formula>
    </cfRule>
  </conditionalFormatting>
  <conditionalFormatting sqref="AG23">
    <cfRule type="cellIs" dxfId="682" priority="110" stopIfTrue="1" operator="equal">
      <formula>"must have 162 starts"</formula>
    </cfRule>
  </conditionalFormatting>
  <conditionalFormatting sqref="AK3:AK22">
    <cfRule type="cellIs" dxfId="681" priority="109" stopIfTrue="1" operator="equal">
      <formula>"must average at least 5 innings per start"</formula>
    </cfRule>
  </conditionalFormatting>
  <conditionalFormatting sqref="AK23">
    <cfRule type="cellIs" dxfId="680" priority="108" stopIfTrue="1" operator="equal">
      <formula>"must have 162 starts"</formula>
    </cfRule>
  </conditionalFormatting>
  <conditionalFormatting sqref="AH3:AH22">
    <cfRule type="cellIs" dxfId="679" priority="107" stopIfTrue="1" operator="equal">
      <formula>"must average at least 5 innings per start"</formula>
    </cfRule>
  </conditionalFormatting>
  <conditionalFormatting sqref="AH23">
    <cfRule type="cellIs" dxfId="678" priority="106" stopIfTrue="1" operator="equal">
      <formula>"must have 162 starts"</formula>
    </cfRule>
  </conditionalFormatting>
  <conditionalFormatting sqref="AG3:AG22">
    <cfRule type="cellIs" dxfId="677" priority="105" stopIfTrue="1" operator="equal">
      <formula>"must average at least 5 innings per start"</formula>
    </cfRule>
  </conditionalFormatting>
  <conditionalFormatting sqref="AG23">
    <cfRule type="cellIs" dxfId="676" priority="104" stopIfTrue="1" operator="equal">
      <formula>"must have 162 starts"</formula>
    </cfRule>
  </conditionalFormatting>
  <conditionalFormatting sqref="AG3:AG22">
    <cfRule type="cellIs" dxfId="675" priority="103" stopIfTrue="1" operator="equal">
      <formula>"must average at least 5 innings per start"</formula>
    </cfRule>
  </conditionalFormatting>
  <conditionalFormatting sqref="AG23">
    <cfRule type="cellIs" dxfId="674" priority="102" stopIfTrue="1" operator="equal">
      <formula>"must have 162 starts"</formula>
    </cfRule>
  </conditionalFormatting>
  <conditionalFormatting sqref="AK3:AK22">
    <cfRule type="cellIs" dxfId="673" priority="101" stopIfTrue="1" operator="equal">
      <formula>"must average at least 5 innings per start"</formula>
    </cfRule>
  </conditionalFormatting>
  <conditionalFormatting sqref="AK23">
    <cfRule type="cellIs" dxfId="672" priority="100" stopIfTrue="1" operator="equal">
      <formula>"must have 162 starts"</formula>
    </cfRule>
  </conditionalFormatting>
  <conditionalFormatting sqref="AK3:AK22">
    <cfRule type="cellIs" dxfId="671" priority="99" stopIfTrue="1" operator="equal">
      <formula>"must average at least 5 innings per start"</formula>
    </cfRule>
  </conditionalFormatting>
  <conditionalFormatting sqref="AK23">
    <cfRule type="cellIs" dxfId="670" priority="98" stopIfTrue="1" operator="equal">
      <formula>"must have 162 starts"</formula>
    </cfRule>
  </conditionalFormatting>
  <conditionalFormatting sqref="AK3:AK22">
    <cfRule type="cellIs" dxfId="669" priority="97" stopIfTrue="1" operator="equal">
      <formula>"must average at least 5 innings per start"</formula>
    </cfRule>
  </conditionalFormatting>
  <conditionalFormatting sqref="AK23">
    <cfRule type="cellIs" dxfId="668" priority="96" stopIfTrue="1" operator="equal">
      <formula>"must have 162 starts"</formula>
    </cfRule>
  </conditionalFormatting>
  <conditionalFormatting sqref="AK3:AK22">
    <cfRule type="cellIs" dxfId="667" priority="95" stopIfTrue="1" operator="equal">
      <formula>"must average at least 5 innings per start"</formula>
    </cfRule>
  </conditionalFormatting>
  <conditionalFormatting sqref="AK23">
    <cfRule type="cellIs" dxfId="666" priority="94" stopIfTrue="1" operator="equal">
      <formula>"must have 162 starts"</formula>
    </cfRule>
  </conditionalFormatting>
  <conditionalFormatting sqref="AK3:AK22">
    <cfRule type="cellIs" dxfId="665" priority="93" stopIfTrue="1" operator="equal">
      <formula>"must average at least 5 innings per start"</formula>
    </cfRule>
  </conditionalFormatting>
  <conditionalFormatting sqref="AK23">
    <cfRule type="cellIs" dxfId="664" priority="92" stopIfTrue="1" operator="equal">
      <formula>"must have 162 starts"</formula>
    </cfRule>
  </conditionalFormatting>
  <conditionalFormatting sqref="AK3:AK22">
    <cfRule type="cellIs" dxfId="663" priority="91" stopIfTrue="1" operator="equal">
      <formula>"must average at least 5 innings per start"</formula>
    </cfRule>
  </conditionalFormatting>
  <conditionalFormatting sqref="AK23">
    <cfRule type="cellIs" dxfId="662" priority="90" stopIfTrue="1" operator="equal">
      <formula>"must have 162 starts"</formula>
    </cfRule>
  </conditionalFormatting>
  <conditionalFormatting sqref="AK3:AK22">
    <cfRule type="cellIs" dxfId="661" priority="89" stopIfTrue="1" operator="equal">
      <formula>"must average at least 5 innings per start"</formula>
    </cfRule>
  </conditionalFormatting>
  <conditionalFormatting sqref="AK23">
    <cfRule type="cellIs" dxfId="660" priority="88" stopIfTrue="1" operator="equal">
      <formula>"must have 162 starts"</formula>
    </cfRule>
  </conditionalFormatting>
  <conditionalFormatting sqref="AH3:AH22">
    <cfRule type="cellIs" dxfId="659" priority="87" stopIfTrue="1" operator="equal">
      <formula>"must average at least 5 innings per start"</formula>
    </cfRule>
  </conditionalFormatting>
  <conditionalFormatting sqref="AH23">
    <cfRule type="cellIs" dxfId="658" priority="86" stopIfTrue="1" operator="equal">
      <formula>"must have 162 starts"</formula>
    </cfRule>
  </conditionalFormatting>
  <conditionalFormatting sqref="AG3:AG22">
    <cfRule type="cellIs" dxfId="657" priority="85" stopIfTrue="1" operator="equal">
      <formula>"must average at least 5 innings per start"</formula>
    </cfRule>
  </conditionalFormatting>
  <conditionalFormatting sqref="AG23">
    <cfRule type="cellIs" dxfId="656" priority="84" stopIfTrue="1" operator="equal">
      <formula>"must have 162 starts"</formula>
    </cfRule>
  </conditionalFormatting>
  <conditionalFormatting sqref="AK3:AK22">
    <cfRule type="cellIs" dxfId="655" priority="83" stopIfTrue="1" operator="equal">
      <formula>"must average at least 5 innings per start"</formula>
    </cfRule>
  </conditionalFormatting>
  <conditionalFormatting sqref="AK23">
    <cfRule type="cellIs" dxfId="654" priority="82" stopIfTrue="1" operator="equal">
      <formula>"must have 162 starts"</formula>
    </cfRule>
  </conditionalFormatting>
  <conditionalFormatting sqref="AK3:AK22">
    <cfRule type="cellIs" dxfId="653" priority="81" stopIfTrue="1" operator="equal">
      <formula>"must average at least 5 innings per start"</formula>
    </cfRule>
  </conditionalFormatting>
  <conditionalFormatting sqref="AK23">
    <cfRule type="cellIs" dxfId="652" priority="80" stopIfTrue="1" operator="equal">
      <formula>"must have 162 starts"</formula>
    </cfRule>
  </conditionalFormatting>
  <conditionalFormatting sqref="AK3:AK22">
    <cfRule type="cellIs" dxfId="651" priority="79" stopIfTrue="1" operator="equal">
      <formula>"must average at least 5 innings per start"</formula>
    </cfRule>
  </conditionalFormatting>
  <conditionalFormatting sqref="AK23">
    <cfRule type="cellIs" dxfId="650" priority="78" stopIfTrue="1" operator="equal">
      <formula>"must have 162 starts"</formula>
    </cfRule>
  </conditionalFormatting>
  <conditionalFormatting sqref="AK3:AK22">
    <cfRule type="cellIs" dxfId="649" priority="77" stopIfTrue="1" operator="equal">
      <formula>"must average at least 5 innings per start"</formula>
    </cfRule>
  </conditionalFormatting>
  <conditionalFormatting sqref="AK23">
    <cfRule type="cellIs" dxfId="648" priority="76" stopIfTrue="1" operator="equal">
      <formula>"must have 162 starts"</formula>
    </cfRule>
  </conditionalFormatting>
  <conditionalFormatting sqref="AK3:AK22">
    <cfRule type="cellIs" dxfId="647" priority="75" stopIfTrue="1" operator="equal">
      <formula>"must average at least 5 innings per start"</formula>
    </cfRule>
  </conditionalFormatting>
  <conditionalFormatting sqref="AK23">
    <cfRule type="cellIs" dxfId="646" priority="74" stopIfTrue="1" operator="equal">
      <formula>"must have 162 starts"</formula>
    </cfRule>
  </conditionalFormatting>
  <conditionalFormatting sqref="AK3:AK22">
    <cfRule type="cellIs" dxfId="645" priority="73" stopIfTrue="1" operator="equal">
      <formula>"must average at least 5 innings per start"</formula>
    </cfRule>
  </conditionalFormatting>
  <conditionalFormatting sqref="AK23">
    <cfRule type="cellIs" dxfId="644" priority="72" stopIfTrue="1" operator="equal">
      <formula>"must have 162 starts"</formula>
    </cfRule>
  </conditionalFormatting>
  <conditionalFormatting sqref="AK3:AK22">
    <cfRule type="cellIs" dxfId="643" priority="71" stopIfTrue="1" operator="equal">
      <formula>"must average at least 5 innings per start"</formula>
    </cfRule>
  </conditionalFormatting>
  <conditionalFormatting sqref="AK23">
    <cfRule type="cellIs" dxfId="642" priority="70" stopIfTrue="1" operator="equal">
      <formula>"must have 162 starts"</formula>
    </cfRule>
  </conditionalFormatting>
  <conditionalFormatting sqref="AK3:AK22">
    <cfRule type="cellIs" dxfId="641" priority="69" stopIfTrue="1" operator="equal">
      <formula>"must average at least 5 innings per start"</formula>
    </cfRule>
  </conditionalFormatting>
  <conditionalFormatting sqref="AK23">
    <cfRule type="cellIs" dxfId="640" priority="68" stopIfTrue="1" operator="equal">
      <formula>"must have 162 starts"</formula>
    </cfRule>
  </conditionalFormatting>
  <conditionalFormatting sqref="AG3:AG22">
    <cfRule type="cellIs" dxfId="639" priority="67" stopIfTrue="1" operator="equal">
      <formula>"must average at least 5 innings per start"</formula>
    </cfRule>
  </conditionalFormatting>
  <conditionalFormatting sqref="AG23">
    <cfRule type="cellIs" dxfId="638" priority="66" stopIfTrue="1" operator="equal">
      <formula>"must have 162 starts"</formula>
    </cfRule>
  </conditionalFormatting>
  <conditionalFormatting sqref="AK3:AK22">
    <cfRule type="cellIs" dxfId="637" priority="65" stopIfTrue="1" operator="equal">
      <formula>"must average at least 5 innings per start"</formula>
    </cfRule>
  </conditionalFormatting>
  <conditionalFormatting sqref="AK23">
    <cfRule type="cellIs" dxfId="636" priority="64" stopIfTrue="1" operator="equal">
      <formula>"must have 162 starts"</formula>
    </cfRule>
  </conditionalFormatting>
  <conditionalFormatting sqref="AK3:AK22">
    <cfRule type="cellIs" dxfId="635" priority="63" stopIfTrue="1" operator="equal">
      <formula>"must average at least 5 innings per start"</formula>
    </cfRule>
  </conditionalFormatting>
  <conditionalFormatting sqref="AK23">
    <cfRule type="cellIs" dxfId="634" priority="62" stopIfTrue="1" operator="equal">
      <formula>"must have 162 starts"</formula>
    </cfRule>
  </conditionalFormatting>
  <conditionalFormatting sqref="AK3:AK22">
    <cfRule type="cellIs" dxfId="633" priority="61" stopIfTrue="1" operator="equal">
      <formula>"must average at least 5 innings per start"</formula>
    </cfRule>
  </conditionalFormatting>
  <conditionalFormatting sqref="AK23">
    <cfRule type="cellIs" dxfId="632" priority="60" stopIfTrue="1" operator="equal">
      <formula>"must have 162 starts"</formula>
    </cfRule>
  </conditionalFormatting>
  <conditionalFormatting sqref="AK3:AK22">
    <cfRule type="cellIs" dxfId="631" priority="59" stopIfTrue="1" operator="equal">
      <formula>"must average at least 5 innings per start"</formula>
    </cfRule>
  </conditionalFormatting>
  <conditionalFormatting sqref="AK23">
    <cfRule type="cellIs" dxfId="630" priority="58" stopIfTrue="1" operator="equal">
      <formula>"must have 162 starts"</formula>
    </cfRule>
  </conditionalFormatting>
  <conditionalFormatting sqref="AK3:AK22">
    <cfRule type="cellIs" dxfId="629" priority="57" stopIfTrue="1" operator="equal">
      <formula>"must average at least 5 innings per start"</formula>
    </cfRule>
  </conditionalFormatting>
  <conditionalFormatting sqref="AK23">
    <cfRule type="cellIs" dxfId="628" priority="56" stopIfTrue="1" operator="equal">
      <formula>"must have 162 starts"</formula>
    </cfRule>
  </conditionalFormatting>
  <conditionalFormatting sqref="AK3:AK22">
    <cfRule type="cellIs" dxfId="627" priority="55" stopIfTrue="1" operator="equal">
      <formula>"must average at least 5 innings per start"</formula>
    </cfRule>
  </conditionalFormatting>
  <conditionalFormatting sqref="AK23">
    <cfRule type="cellIs" dxfId="626" priority="54" stopIfTrue="1" operator="equal">
      <formula>"must have 162 starts"</formula>
    </cfRule>
  </conditionalFormatting>
  <conditionalFormatting sqref="AK3:AK22">
    <cfRule type="cellIs" dxfId="625" priority="53" stopIfTrue="1" operator="equal">
      <formula>"must average at least 5 innings per start"</formula>
    </cfRule>
  </conditionalFormatting>
  <conditionalFormatting sqref="AK23">
    <cfRule type="cellIs" dxfId="624" priority="52" stopIfTrue="1" operator="equal">
      <formula>"must have 162 starts"</formula>
    </cfRule>
  </conditionalFormatting>
  <conditionalFormatting sqref="AG3:AG22">
    <cfRule type="cellIs" dxfId="623" priority="51" stopIfTrue="1" operator="equal">
      <formula>"must average at least 5 innings per start"</formula>
    </cfRule>
  </conditionalFormatting>
  <conditionalFormatting sqref="AG23">
    <cfRule type="cellIs" dxfId="622" priority="50" stopIfTrue="1" operator="equal">
      <formula>"must have 162 starts"</formula>
    </cfRule>
  </conditionalFormatting>
  <conditionalFormatting sqref="AK3:AK22">
    <cfRule type="cellIs" dxfId="621" priority="49" stopIfTrue="1" operator="equal">
      <formula>"must average at least 5 innings per start"</formula>
    </cfRule>
  </conditionalFormatting>
  <conditionalFormatting sqref="AK23">
    <cfRule type="cellIs" dxfId="620" priority="48" stopIfTrue="1" operator="equal">
      <formula>"must have 162 starts"</formula>
    </cfRule>
  </conditionalFormatting>
  <conditionalFormatting sqref="AK3:AK22">
    <cfRule type="cellIs" dxfId="619" priority="47" stopIfTrue="1" operator="equal">
      <formula>"must average at least 5 innings per start"</formula>
    </cfRule>
  </conditionalFormatting>
  <conditionalFormatting sqref="AK23">
    <cfRule type="cellIs" dxfId="618" priority="46" stopIfTrue="1" operator="equal">
      <formula>"must have 162 starts"</formula>
    </cfRule>
  </conditionalFormatting>
  <conditionalFormatting sqref="AK3:AK22">
    <cfRule type="cellIs" dxfId="617" priority="45" stopIfTrue="1" operator="equal">
      <formula>"must average at least 5 innings per start"</formula>
    </cfRule>
  </conditionalFormatting>
  <conditionalFormatting sqref="AK23">
    <cfRule type="cellIs" dxfId="616" priority="44" stopIfTrue="1" operator="equal">
      <formula>"must have 162 starts"</formula>
    </cfRule>
  </conditionalFormatting>
  <conditionalFormatting sqref="AK3:AK22">
    <cfRule type="cellIs" dxfId="615" priority="43" stopIfTrue="1" operator="equal">
      <formula>"must average at least 5 innings per start"</formula>
    </cfRule>
  </conditionalFormatting>
  <conditionalFormatting sqref="AK23">
    <cfRule type="cellIs" dxfId="614" priority="42" stopIfTrue="1" operator="equal">
      <formula>"must have 162 starts"</formula>
    </cfRule>
  </conditionalFormatting>
  <conditionalFormatting sqref="AK3:AK22">
    <cfRule type="cellIs" dxfId="613" priority="41" stopIfTrue="1" operator="equal">
      <formula>"must average at least 5 innings per start"</formula>
    </cfRule>
  </conditionalFormatting>
  <conditionalFormatting sqref="AK23">
    <cfRule type="cellIs" dxfId="612" priority="40" stopIfTrue="1" operator="equal">
      <formula>"must have 162 starts"</formula>
    </cfRule>
  </conditionalFormatting>
  <conditionalFormatting sqref="AK3:AK22">
    <cfRule type="cellIs" dxfId="611" priority="39" stopIfTrue="1" operator="equal">
      <formula>"must average at least 5 innings per start"</formula>
    </cfRule>
  </conditionalFormatting>
  <conditionalFormatting sqref="AK23">
    <cfRule type="cellIs" dxfId="610" priority="38" stopIfTrue="1" operator="equal">
      <formula>"must have 162 starts"</formula>
    </cfRule>
  </conditionalFormatting>
  <conditionalFormatting sqref="AG3:AG22">
    <cfRule type="cellIs" dxfId="609" priority="37" stopIfTrue="1" operator="equal">
      <formula>"must average at least 5 innings per start"</formula>
    </cfRule>
  </conditionalFormatting>
  <conditionalFormatting sqref="AG23">
    <cfRule type="cellIs" dxfId="608" priority="36" stopIfTrue="1" operator="equal">
      <formula>"must have 162 starts"</formula>
    </cfRule>
  </conditionalFormatting>
  <conditionalFormatting sqref="AK3:AK22">
    <cfRule type="cellIs" dxfId="607" priority="35" stopIfTrue="1" operator="equal">
      <formula>"must average at least 5 innings per start"</formula>
    </cfRule>
  </conditionalFormatting>
  <conditionalFormatting sqref="AK23">
    <cfRule type="cellIs" dxfId="606" priority="34" stopIfTrue="1" operator="equal">
      <formula>"must have 162 starts"</formula>
    </cfRule>
  </conditionalFormatting>
  <conditionalFormatting sqref="AK3:AK22">
    <cfRule type="cellIs" dxfId="605" priority="33" stopIfTrue="1" operator="equal">
      <formula>"must average at least 5 innings per start"</formula>
    </cfRule>
  </conditionalFormatting>
  <conditionalFormatting sqref="AK23">
    <cfRule type="cellIs" dxfId="604" priority="32" stopIfTrue="1" operator="equal">
      <formula>"must have 162 starts"</formula>
    </cfRule>
  </conditionalFormatting>
  <conditionalFormatting sqref="AK3:AK22">
    <cfRule type="cellIs" dxfId="603" priority="31" stopIfTrue="1" operator="equal">
      <formula>"must average at least 5 innings per start"</formula>
    </cfRule>
  </conditionalFormatting>
  <conditionalFormatting sqref="AK23">
    <cfRule type="cellIs" dxfId="602" priority="30" stopIfTrue="1" operator="equal">
      <formula>"must have 162 starts"</formula>
    </cfRule>
  </conditionalFormatting>
  <conditionalFormatting sqref="AK3:AK22">
    <cfRule type="cellIs" dxfId="601" priority="29" stopIfTrue="1" operator="equal">
      <formula>"must average at least 5 innings per start"</formula>
    </cfRule>
  </conditionalFormatting>
  <conditionalFormatting sqref="AK23">
    <cfRule type="cellIs" dxfId="600" priority="28" stopIfTrue="1" operator="equal">
      <formula>"must have 162 starts"</formula>
    </cfRule>
  </conditionalFormatting>
  <conditionalFormatting sqref="AK3:AK22">
    <cfRule type="cellIs" dxfId="599" priority="27" stopIfTrue="1" operator="equal">
      <formula>"must average at least 5 innings per start"</formula>
    </cfRule>
  </conditionalFormatting>
  <conditionalFormatting sqref="AK23">
    <cfRule type="cellIs" dxfId="598" priority="26" stopIfTrue="1" operator="equal">
      <formula>"must have 162 starts"</formula>
    </cfRule>
  </conditionalFormatting>
  <conditionalFormatting sqref="AG3:AG22">
    <cfRule type="cellIs" dxfId="597" priority="25" stopIfTrue="1" operator="equal">
      <formula>"must average at least 5 innings per start"</formula>
    </cfRule>
  </conditionalFormatting>
  <conditionalFormatting sqref="AG23">
    <cfRule type="cellIs" dxfId="596" priority="24" stopIfTrue="1" operator="equal">
      <formula>"must have 162 starts"</formula>
    </cfRule>
  </conditionalFormatting>
  <conditionalFormatting sqref="AK3:AK22">
    <cfRule type="cellIs" dxfId="595" priority="23" stopIfTrue="1" operator="equal">
      <formula>"must average at least 5 innings per start"</formula>
    </cfRule>
  </conditionalFormatting>
  <conditionalFormatting sqref="AK23">
    <cfRule type="cellIs" dxfId="594" priority="22" stopIfTrue="1" operator="equal">
      <formula>"must have 162 starts"</formula>
    </cfRule>
  </conditionalFormatting>
  <conditionalFormatting sqref="AK3:AK22">
    <cfRule type="cellIs" dxfId="593" priority="21" stopIfTrue="1" operator="equal">
      <formula>"must average at least 5 innings per start"</formula>
    </cfRule>
  </conditionalFormatting>
  <conditionalFormatting sqref="AK23">
    <cfRule type="cellIs" dxfId="592" priority="20" stopIfTrue="1" operator="equal">
      <formula>"must have 162 starts"</formula>
    </cfRule>
  </conditionalFormatting>
  <conditionalFormatting sqref="AK3:AK22">
    <cfRule type="cellIs" dxfId="591" priority="19" stopIfTrue="1" operator="equal">
      <formula>"must average at least 5 innings per start"</formula>
    </cfRule>
  </conditionalFormatting>
  <conditionalFormatting sqref="AK23">
    <cfRule type="cellIs" dxfId="590" priority="18" stopIfTrue="1" operator="equal">
      <formula>"must have 162 starts"</formula>
    </cfRule>
  </conditionalFormatting>
  <conditionalFormatting sqref="AK3:AK22">
    <cfRule type="cellIs" dxfId="589" priority="17" stopIfTrue="1" operator="equal">
      <formula>"must average at least 5 innings per start"</formula>
    </cfRule>
  </conditionalFormatting>
  <conditionalFormatting sqref="AK23">
    <cfRule type="cellIs" dxfId="588" priority="16" stopIfTrue="1" operator="equal">
      <formula>"must have 162 starts"</formula>
    </cfRule>
  </conditionalFormatting>
  <conditionalFormatting sqref="AG3:AG22">
    <cfRule type="cellIs" dxfId="587" priority="15" stopIfTrue="1" operator="equal">
      <formula>"must average at least 5 innings per start"</formula>
    </cfRule>
  </conditionalFormatting>
  <conditionalFormatting sqref="AG23">
    <cfRule type="cellIs" dxfId="586" priority="14" stopIfTrue="1" operator="equal">
      <formula>"must have 162 starts"</formula>
    </cfRule>
  </conditionalFormatting>
  <conditionalFormatting sqref="AK3:AK22">
    <cfRule type="cellIs" dxfId="585" priority="13" stopIfTrue="1" operator="equal">
      <formula>"must average at least 5 innings per start"</formula>
    </cfRule>
  </conditionalFormatting>
  <conditionalFormatting sqref="AK23">
    <cfRule type="cellIs" dxfId="584" priority="12" stopIfTrue="1" operator="equal">
      <formula>"must have 162 starts"</formula>
    </cfRule>
  </conditionalFormatting>
  <conditionalFormatting sqref="AK3:AK22">
    <cfRule type="cellIs" dxfId="583" priority="11" stopIfTrue="1" operator="equal">
      <formula>"must average at least 5 innings per start"</formula>
    </cfRule>
  </conditionalFormatting>
  <conditionalFormatting sqref="AK23">
    <cfRule type="cellIs" dxfId="582" priority="10" stopIfTrue="1" operator="equal">
      <formula>"must have 162 starts"</formula>
    </cfRule>
  </conditionalFormatting>
  <conditionalFormatting sqref="AK3:AK22">
    <cfRule type="cellIs" dxfId="581" priority="9" stopIfTrue="1" operator="equal">
      <formula>"must average at least 5 innings per start"</formula>
    </cfRule>
  </conditionalFormatting>
  <conditionalFormatting sqref="AK23">
    <cfRule type="cellIs" dxfId="580" priority="8" stopIfTrue="1" operator="equal">
      <formula>"must have 162 starts"</formula>
    </cfRule>
  </conditionalFormatting>
  <conditionalFormatting sqref="AG3:AG22">
    <cfRule type="cellIs" dxfId="579" priority="7" stopIfTrue="1" operator="equal">
      <formula>"must average at least 5 innings per start"</formula>
    </cfRule>
  </conditionalFormatting>
  <conditionalFormatting sqref="AG23">
    <cfRule type="cellIs" dxfId="578" priority="6" stopIfTrue="1" operator="equal">
      <formula>"must have 162 starts"</formula>
    </cfRule>
  </conditionalFormatting>
  <conditionalFormatting sqref="AK3:AK22">
    <cfRule type="cellIs" dxfId="577" priority="5" stopIfTrue="1" operator="equal">
      <formula>"must average at least 5 innings per start"</formula>
    </cfRule>
  </conditionalFormatting>
  <conditionalFormatting sqref="AK23">
    <cfRule type="cellIs" dxfId="576" priority="4" stopIfTrue="1" operator="equal">
      <formula>"must have 162 starts"</formula>
    </cfRule>
  </conditionalFormatting>
  <conditionalFormatting sqref="AG3:AG22">
    <cfRule type="cellIs" dxfId="575" priority="3" stopIfTrue="1" operator="equal">
      <formula>"must average at least 5 innings per start"</formula>
    </cfRule>
  </conditionalFormatting>
  <conditionalFormatting sqref="AG23">
    <cfRule type="cellIs" dxfId="574" priority="2" stopIfTrue="1" operator="equal">
      <formula>"must have 162 starts"</formula>
    </cfRule>
  </conditionalFormatting>
  <conditionalFormatting sqref="Q2">
    <cfRule type="cellIs" dxfId="573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18013" divId="ROTcheck_18013" sourceType="sheet" destinationFile="C:\1kading\schedule\skedrrc.html"/>
    <webPublishItem id="25050" divId="ROTcheck_25050" sourceType="range" sourceRef="A1:O193" destinationFile="C:\1kading\schedule\skedrrc.html"/>
    <webPublishItem id="37" divId="ROTcheck_37" sourceType="range" sourceRef="A156:O185" destinationFile="C:\1kading\schedule\skedrrc.html"/>
  </webPublishItems>
</worksheet>
</file>

<file path=xl/worksheets/sheet29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15" customWidth="1"/>
    <col min="2" max="2" width="4" style="15" customWidth="1"/>
    <col min="3" max="3" width="5.85546875" style="2" customWidth="1"/>
    <col min="4" max="4" width="30.285156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5703125" style="2" customWidth="1"/>
    <col min="18" max="18" width="5.140625" style="2" customWidth="1"/>
    <col min="19" max="19" width="19.8554687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7.285156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40" t="s">
        <v>55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30">
        <v>4.01</v>
      </c>
      <c r="B3" s="33" t="s">
        <v>32</v>
      </c>
      <c r="C3" s="33" t="s">
        <v>17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453</v>
      </c>
      <c r="T3" s="46" t="str">
        <f>IF(ISERROR((VLOOKUP(S3,Pitchers!$B$1:H$800,4,FALSE))),"",(VLOOKUP(S3,Pitchers!$B$1:H$800,4,FALSE)))</f>
        <v>TOT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8</v>
      </c>
      <c r="X3" s="47">
        <f>IF(ISERROR((VLOOKUP(S3,Pitchers!B$2:AA$795,11,FALSE))),"",(VLOOKUP(S3,Pitchers!B$2:AA$795,11,FALSE)))</f>
        <v>192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 xml:space="preserve"> 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TTT</v>
      </c>
    </row>
    <row r="4" spans="1:36" ht="12.75" customHeight="1">
      <c r="A4" s="30">
        <v>4.0199999999999996</v>
      </c>
      <c r="B4" s="33" t="s">
        <v>32</v>
      </c>
      <c r="C4" s="33" t="s">
        <v>17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1225</v>
      </c>
      <c r="T4" s="46" t="str">
        <f>IF(ISERROR((VLOOKUP(S4,Pitchers!$B$1:H$800,4,FALSE))),"",(VLOOKUP(S4,Pitchers!$B$1:H$800,4,FALSE)))</f>
        <v>SEA</v>
      </c>
      <c r="U4" s="45" t="str">
        <f>IF(ISERROR((VLOOKUP(S4,Pitchers!B$2:AA$795,10,FALSE))),"",(VLOOKUP(S4,Pitchers!B$2:AA$795,10,FALSE)))</f>
        <v>L</v>
      </c>
      <c r="V4" s="41"/>
      <c r="W4" s="46">
        <f>IF(ISERROR((VLOOKUP(S4,Pitchers!B$2:AA$795,13,FALSE))),"",(VLOOKUP(S4,Pitchers!B$2:AA$795,13,FALSE)))</f>
        <v>8</v>
      </c>
      <c r="X4" s="47">
        <f>IF(ISERROR((VLOOKUP(S4,Pitchers!B$2:AA$795,11,FALSE))),"",(VLOOKUP(S4,Pitchers!B$2:AA$795,11,FALSE)))</f>
        <v>114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>W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TTT</v>
      </c>
    </row>
    <row r="5" spans="1:36" ht="12.75" customHeight="1">
      <c r="A5" s="30">
        <v>4.03</v>
      </c>
      <c r="B5" s="33" t="s">
        <v>32</v>
      </c>
      <c r="C5" s="33" t="s">
        <v>17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1199</v>
      </c>
      <c r="T5" s="46" t="str">
        <f>IF(ISERROR((VLOOKUP(S5,Pitchers!$B$1:H$800,4,FALSE))),"",(VLOOKUP(S5,Pitchers!$B$1:H$800,4,FALSE)))</f>
        <v>NYY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5</v>
      </c>
      <c r="X5" s="47">
        <f>IF(ISERROR((VLOOKUP(S5,Pitchers!B$2:AA$795,11,FALSE))),"",(VLOOKUP(S5,Pitchers!B$2:AA$795,11,FALSE)))</f>
        <v>161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X</v>
      </c>
      <c r="AC5" s="52" t="str">
        <f>IF(ISERROR((VLOOKUP(S5,Pitchers!B$2:AA$795,17,FALSE))),"",(VLOOKUP(S5,Pitchers!B$2:AA$795,17,FALSE)))</f>
        <v>Z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TTT</v>
      </c>
    </row>
    <row r="6" spans="1:36" ht="12.75" customHeight="1">
      <c r="A6" s="30">
        <v>4.04</v>
      </c>
      <c r="B6" s="33" t="s">
        <v>32</v>
      </c>
      <c r="C6" s="33" t="s">
        <v>17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613</v>
      </c>
      <c r="T6" s="46" t="str">
        <f>IF(ISERROR((VLOOKUP(S6,Pitchers!$B$1:H$800,4,FALSE))),"",(VLOOKUP(S6,Pitchers!$B$1:H$800,4,FALSE)))</f>
        <v>CHW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4</v>
      </c>
      <c r="X6" s="47">
        <f>IF(ISERROR((VLOOKUP(S6,Pitchers!B$2:AA$795,11,FALSE))),"",(VLOOKUP(S6,Pitchers!B$2:AA$795,11,FALSE)))</f>
        <v>214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 xml:space="preserve"> 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TTT</v>
      </c>
    </row>
    <row r="7" spans="1:36" ht="12.75">
      <c r="A7" s="30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1913</v>
      </c>
      <c r="T7" s="46" t="str">
        <f>IF(ISERROR((VLOOKUP(S7,Pitchers!$B$1:H$800,4,FALSE))),"",(VLOOKUP(S7,Pitchers!$B$1:H$800,4,FALSE)))</f>
        <v>SEA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4</v>
      </c>
      <c r="X7" s="47">
        <f>IF(ISERROR((VLOOKUP(S7,Pitchers!B$2:AA$795,11,FALSE))),"",(VLOOKUP(S7,Pitchers!B$2:AA$795,11,FALSE)))</f>
        <v>5</v>
      </c>
      <c r="Y7" s="48"/>
      <c r="Z7" s="49"/>
      <c r="AA7" s="50"/>
      <c r="AB7" s="51" t="str">
        <f>IF(ISERROR((VLOOKUP(S7,Pitchers!B$2:AA$795,16,FALSE))),"",(VLOOKUP(S7,Pitchers!B$2:AA$795,16,FALSE)))</f>
        <v>XY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>G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30">
        <v>4.0599999999999996</v>
      </c>
      <c r="B8" s="33" t="s">
        <v>32</v>
      </c>
      <c r="C8" s="33" t="s">
        <v>1191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572</v>
      </c>
      <c r="T8" s="46" t="str">
        <f>IF(ISERROR((VLOOKUP(S8,Pitchers!$B$1:H$800,4,FALSE))),"",(VLOOKUP(S8,Pitchers!$B$1:H$800,4,FALSE)))</f>
        <v>BOS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3</v>
      </c>
      <c r="X8" s="47">
        <f>IF(ISERROR((VLOOKUP(S8,Pitchers!B$2:AA$795,11,FALSE))),"",(VLOOKUP(S8,Pitchers!B$2:AA$795,11,FALSE)))</f>
        <v>172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>Y</v>
      </c>
      <c r="AC8" s="52" t="str">
        <f>IF(ISERROR((VLOOKUP(S8,Pitchers!B$2:AA$795,17,FALSE))),"",(VLOOKUP(S8,Pitchers!B$2:AA$795,17,FALSE)))</f>
        <v>Z</v>
      </c>
      <c r="AD8" s="53" t="str">
        <f>IF(ISERROR((VLOOKUP(S8,Pitchers!B$2:AA$795,18,FALSE))),"",(VLOOKUP(S8,Pitchers!B$2:AA$795,18,FALSE)))</f>
        <v>L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TTT</v>
      </c>
    </row>
    <row r="9" spans="1:36" ht="12.75">
      <c r="A9" s="30">
        <v>4.07</v>
      </c>
      <c r="B9" s="33" t="s">
        <v>32</v>
      </c>
      <c r="C9" s="33" t="s">
        <v>1191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t="s">
        <v>1701</v>
      </c>
      <c r="T9" s="46" t="str">
        <f>IF(ISERROR((VLOOKUP(S9,Pitchers!$B$1:H$800,4,FALSE))),"",(VLOOKUP(S9,Pitchers!$B$1:H$800,4,FALSE)))</f>
        <v>MIL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3</v>
      </c>
      <c r="X9" s="47">
        <f>IF(ISERROR((VLOOKUP(S9,Pitchers!B$2:AA$795,11,FALSE))),"",(VLOOKUP(S9,Pitchers!B$2:AA$795,11,FALSE)))</f>
        <v>10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Y</v>
      </c>
      <c r="AC9" s="52" t="str">
        <f>IF(ISERROR((VLOOKUP(S9,Pitchers!B$2:AA$795,17,FALSE))),"",(VLOOKUP(S9,Pitchers!B$2:AA$795,17,FALSE)))</f>
        <v>W</v>
      </c>
      <c r="AD9" s="53" t="str">
        <f>IF(ISERROR((VLOOKUP(S9,Pitchers!B$2:AA$795,18,FALSE))),"",(VLOOKUP(S9,Pitchers!B$2:AA$795,18,FALSE)))</f>
        <v>G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TTT</v>
      </c>
    </row>
    <row r="10" spans="1:36" ht="12.75">
      <c r="A10" s="30">
        <v>4.08</v>
      </c>
      <c r="B10" s="33" t="s">
        <v>32</v>
      </c>
      <c r="C10" s="33" t="s">
        <v>1191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43"/>
      <c r="T10" s="46" t="str">
        <f>IF(ISERROR((VLOOKUP(S10,Pitchers!$B$1:H$800,4,FALSE))),"",(VLOOKUP(S10,Pitchers!$B$1:H$800,4,FALSE)))</f>
        <v/>
      </c>
      <c r="U10" s="45" t="str">
        <f>IF(ISERROR((VLOOKUP(S10,Pitchers!B$2:AA$795,10,FALSE))),"",(VLOOKUP(S10,Pitchers!B$2:AA$795,10,FALSE)))</f>
        <v/>
      </c>
      <c r="V10" s="41"/>
      <c r="W10" s="46" t="str">
        <f>IF(ISERROR((VLOOKUP(S10,Pitchers!B$2:AA$795,13,FALSE))),"",(VLOOKUP(S10,Pitchers!B$2:AA$795,13,FALSE)))</f>
        <v/>
      </c>
      <c r="X10" s="47" t="str">
        <f>IF(ISERROR((VLOOKUP(S10,Pitchers!B$2:AA$795,11,FALSE))),"",(VLOOKUP(S10,Pitchers!B$2:AA$795,11,FALSE)))</f>
        <v/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/>
      </c>
      <c r="AC10" s="52" t="str">
        <f>IF(ISERROR((VLOOKUP(S10,Pitchers!B$2:AA$795,17,FALSE))),"",(VLOOKUP(S10,Pitchers!B$2:AA$795,17,FALSE)))</f>
        <v/>
      </c>
      <c r="AD10" s="53" t="str">
        <f>IF(ISERROR((VLOOKUP(S10,Pitchers!B$2:AA$795,18,FALSE))),"",(VLOOKUP(S10,Pitchers!B$2:AA$795,18,FALSE)))</f>
        <v/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TTT</v>
      </c>
    </row>
    <row r="11" spans="1:36" ht="12.75">
      <c r="A11" s="30">
        <v>4.09</v>
      </c>
      <c r="B11" s="33" t="s">
        <v>32</v>
      </c>
      <c r="C11" s="33" t="s">
        <v>1191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43"/>
      <c r="T11" s="46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TTT</v>
      </c>
    </row>
    <row r="12" spans="1:36" ht="12.75">
      <c r="A12" s="30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43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30">
        <v>4.1100000000000003</v>
      </c>
      <c r="B13" s="33"/>
      <c r="C13" s="33" t="s">
        <v>16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TTT</v>
      </c>
    </row>
    <row r="14" spans="1:36" ht="12.75">
      <c r="A14" s="30">
        <v>4.12</v>
      </c>
      <c r="B14" s="33"/>
      <c r="C14" s="33" t="s">
        <v>16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TTT</v>
      </c>
    </row>
    <row r="15" spans="1:36" ht="12.75">
      <c r="A15" s="30">
        <v>4.13</v>
      </c>
      <c r="B15" s="33"/>
      <c r="C15" s="33" t="s">
        <v>16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TTT</v>
      </c>
    </row>
    <row r="16" spans="1:36" ht="12.75">
      <c r="A16" s="30">
        <v>4.1399999999999997</v>
      </c>
      <c r="B16" s="33"/>
      <c r="C16" s="33" t="s">
        <v>16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TTT</v>
      </c>
    </row>
    <row r="17" spans="1:36" ht="12.75">
      <c r="A17" s="30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30">
        <v>4.16</v>
      </c>
      <c r="B18" s="32" t="s">
        <v>32</v>
      </c>
      <c r="C18" s="33" t="s">
        <v>34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TTT</v>
      </c>
    </row>
    <row r="19" spans="1:36" ht="12.75">
      <c r="A19" s="30">
        <v>4.17</v>
      </c>
      <c r="B19" s="32" t="s">
        <v>32</v>
      </c>
      <c r="C19" s="33" t="s">
        <v>34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TTT</v>
      </c>
    </row>
    <row r="20" spans="1:36" ht="12.75">
      <c r="A20" s="30">
        <v>4.18</v>
      </c>
      <c r="B20" s="32" t="s">
        <v>32</v>
      </c>
      <c r="C20" s="33" t="s">
        <v>34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TTT</v>
      </c>
    </row>
    <row r="21" spans="1:36" ht="12.75">
      <c r="A21" s="30">
        <v>4.1900000000000004</v>
      </c>
      <c r="B21" s="32" t="s">
        <v>32</v>
      </c>
      <c r="C21" s="33" t="s">
        <v>34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TTT</v>
      </c>
    </row>
    <row r="22" spans="1:36" ht="12.75">
      <c r="A22" s="30">
        <v>4.2</v>
      </c>
      <c r="B22" s="32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30">
        <v>4.21</v>
      </c>
      <c r="B23" s="32" t="s">
        <v>32</v>
      </c>
      <c r="C23" s="33" t="s">
        <v>45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TTT</v>
      </c>
    </row>
    <row r="24" spans="1:36" ht="12.75">
      <c r="A24" s="30">
        <v>4.22</v>
      </c>
      <c r="B24" s="32" t="s">
        <v>32</v>
      </c>
      <c r="C24" s="33" t="s">
        <v>45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TTT</v>
      </c>
    </row>
    <row r="25" spans="1:36" ht="12.75">
      <c r="A25" s="30">
        <v>4.2300000000000004</v>
      </c>
      <c r="B25" s="32" t="s">
        <v>32</v>
      </c>
      <c r="C25" s="33" t="s">
        <v>45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TTT</v>
      </c>
    </row>
    <row r="26" spans="1:36" ht="12.75">
      <c r="A26" s="30">
        <v>4.24</v>
      </c>
      <c r="B26" s="32" t="s">
        <v>32</v>
      </c>
      <c r="C26" s="33" t="s">
        <v>45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TTT</v>
      </c>
    </row>
    <row r="27" spans="1:36" ht="12.75">
      <c r="A27" s="30">
        <v>4.25</v>
      </c>
      <c r="B27" s="32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30">
        <v>4.26</v>
      </c>
      <c r="B28" s="33"/>
      <c r="C28" s="33" t="s">
        <v>14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TTT</v>
      </c>
    </row>
    <row r="29" spans="1:36" ht="12.75">
      <c r="A29" s="30">
        <v>4.2699999999999996</v>
      </c>
      <c r="B29" s="33"/>
      <c r="C29" s="33" t="s">
        <v>14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TTT</v>
      </c>
    </row>
    <row r="30" spans="1:36" ht="12.75">
      <c r="A30" s="30">
        <v>4.28</v>
      </c>
      <c r="B30" s="33"/>
      <c r="C30" s="33" t="s">
        <v>14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TTT</v>
      </c>
    </row>
    <row r="31" spans="1:36" ht="12.75">
      <c r="A31" s="30">
        <v>4.29</v>
      </c>
      <c r="B31" s="33"/>
      <c r="C31" s="33" t="s">
        <v>14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TTT</v>
      </c>
    </row>
    <row r="32" spans="1:36" ht="12.75">
      <c r="A32" s="30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30">
        <v>5.01</v>
      </c>
      <c r="B33" s="33" t="s">
        <v>32</v>
      </c>
      <c r="C33" s="33" t="s">
        <v>44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TTT</v>
      </c>
    </row>
    <row r="34" spans="1:36" ht="12.75">
      <c r="A34" s="30">
        <v>5.0199999999999996</v>
      </c>
      <c r="B34" s="33" t="s">
        <v>32</v>
      </c>
      <c r="C34" s="33" t="s">
        <v>44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TTT</v>
      </c>
    </row>
    <row r="35" spans="1:36" ht="12.75">
      <c r="A35" s="30">
        <v>5.03</v>
      </c>
      <c r="B35" s="33" t="s">
        <v>32</v>
      </c>
      <c r="C35" s="33" t="s">
        <v>44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TTT</v>
      </c>
    </row>
    <row r="36" spans="1:36" ht="12.75">
      <c r="A36" s="30">
        <v>5.04</v>
      </c>
      <c r="B36" s="33" t="s">
        <v>32</v>
      </c>
      <c r="C36" s="33" t="s">
        <v>44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TTT</v>
      </c>
    </row>
    <row r="37" spans="1:36" ht="12.75">
      <c r="A37" s="30">
        <v>5.05</v>
      </c>
      <c r="B37" s="32" t="s">
        <v>32</v>
      </c>
      <c r="C37" s="33" t="s">
        <v>15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TTT</v>
      </c>
    </row>
    <row r="38" spans="1:36" ht="12.75">
      <c r="A38" s="30">
        <v>5.0599999999999996</v>
      </c>
      <c r="B38" s="32" t="s">
        <v>32</v>
      </c>
      <c r="C38" s="33" t="s">
        <v>15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TTT</v>
      </c>
    </row>
    <row r="39" spans="1:36" ht="12.75">
      <c r="A39" s="30">
        <v>5.07</v>
      </c>
      <c r="B39" s="32" t="s">
        <v>32</v>
      </c>
      <c r="C39" s="33" t="s">
        <v>15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TTT</v>
      </c>
    </row>
    <row r="40" spans="1:36" ht="12.75">
      <c r="A40" s="30">
        <v>5.08</v>
      </c>
      <c r="B40" s="32" t="s">
        <v>32</v>
      </c>
      <c r="C40" s="33" t="s">
        <v>15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TTT</v>
      </c>
    </row>
    <row r="41" spans="1:36" ht="12.75">
      <c r="A41" s="30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30">
        <v>5.0999999999999996</v>
      </c>
      <c r="B42" s="33"/>
      <c r="C42" s="76" t="s">
        <v>1917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TTT</v>
      </c>
    </row>
    <row r="43" spans="1:36" ht="12.75">
      <c r="A43" s="30">
        <v>5.1100000000000003</v>
      </c>
      <c r="B43" s="33"/>
      <c r="C43" s="76" t="s">
        <v>1917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TTT</v>
      </c>
    </row>
    <row r="44" spans="1:36" ht="12.75">
      <c r="A44" s="30">
        <v>5.12</v>
      </c>
      <c r="B44" s="33"/>
      <c r="C44" s="76" t="s">
        <v>1917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TTT</v>
      </c>
    </row>
    <row r="45" spans="1:36" ht="12.75">
      <c r="A45" s="30">
        <v>5.13</v>
      </c>
      <c r="B45" s="33"/>
      <c r="C45" s="76" t="s">
        <v>1917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TTT</v>
      </c>
    </row>
    <row r="46" spans="1:36" ht="12.75">
      <c r="A46" s="30">
        <v>5.14</v>
      </c>
      <c r="B46" s="33"/>
      <c r="C46" s="33" t="s">
        <v>39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TTT</v>
      </c>
    </row>
    <row r="47" spans="1:36" ht="12.75">
      <c r="A47" s="30">
        <v>5.15</v>
      </c>
      <c r="B47" s="33"/>
      <c r="C47" s="33" t="s">
        <v>39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TTT</v>
      </c>
    </row>
    <row r="48" spans="1:36" ht="12.75">
      <c r="A48" s="30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30">
        <v>5.17</v>
      </c>
      <c r="B49" s="33"/>
      <c r="C49" s="33" t="s">
        <v>39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TTT</v>
      </c>
    </row>
    <row r="50" spans="1:36" ht="12.75">
      <c r="A50" s="30">
        <v>5.18</v>
      </c>
      <c r="B50" s="33"/>
      <c r="C50" s="33" t="s">
        <v>39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TTT</v>
      </c>
    </row>
    <row r="51" spans="1:36" ht="12.75">
      <c r="A51" s="30">
        <v>5.19</v>
      </c>
      <c r="B51" s="33" t="s">
        <v>32</v>
      </c>
      <c r="C51" s="33" t="s">
        <v>48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TTT</v>
      </c>
    </row>
    <row r="52" spans="1:36" ht="12.75">
      <c r="A52" s="30">
        <v>5.2</v>
      </c>
      <c r="B52" s="33" t="s">
        <v>32</v>
      </c>
      <c r="C52" s="33" t="s">
        <v>48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TTT</v>
      </c>
    </row>
    <row r="53" spans="1:36" ht="12.75">
      <c r="A53" s="30">
        <v>5.21</v>
      </c>
      <c r="B53" s="33" t="s">
        <v>32</v>
      </c>
      <c r="C53" s="33" t="s">
        <v>48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TTT</v>
      </c>
    </row>
    <row r="54" spans="1:36" ht="12.75">
      <c r="A54" s="30">
        <v>5.22</v>
      </c>
      <c r="B54" s="33" t="s">
        <v>32</v>
      </c>
      <c r="C54" s="33" t="s">
        <v>48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TTT</v>
      </c>
    </row>
    <row r="55" spans="1:36" ht="12.75">
      <c r="A55" s="30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30">
        <v>5.24</v>
      </c>
      <c r="B56" s="33"/>
      <c r="C56" s="33" t="s">
        <v>47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TTT</v>
      </c>
    </row>
    <row r="57" spans="1:36" ht="12.75">
      <c r="A57" s="30">
        <v>5.25</v>
      </c>
      <c r="B57" s="33"/>
      <c r="C57" s="33" t="s">
        <v>47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TTT</v>
      </c>
    </row>
    <row r="58" spans="1:36" ht="12.75">
      <c r="A58" s="30">
        <v>5.26</v>
      </c>
      <c r="B58" s="33"/>
      <c r="C58" s="33" t="s">
        <v>47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TTT</v>
      </c>
    </row>
    <row r="59" spans="1:36" ht="12.75">
      <c r="A59" s="30">
        <v>5.27</v>
      </c>
      <c r="B59" s="33"/>
      <c r="C59" s="33" t="s">
        <v>47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TTT</v>
      </c>
    </row>
    <row r="60" spans="1:36" ht="12.75">
      <c r="A60" s="30">
        <v>5.28</v>
      </c>
      <c r="B60" s="33" t="s">
        <v>32</v>
      </c>
      <c r="C60" s="33" t="s">
        <v>52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TTT</v>
      </c>
    </row>
    <row r="61" spans="1:36" ht="12.75">
      <c r="A61" s="30">
        <v>5.29</v>
      </c>
      <c r="B61" s="33" t="s">
        <v>32</v>
      </c>
      <c r="C61" s="33" t="s">
        <v>52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TTT</v>
      </c>
    </row>
    <row r="62" spans="1:36" ht="12.75">
      <c r="A62" s="30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30">
        <v>5.31</v>
      </c>
      <c r="B63" s="33" t="s">
        <v>32</v>
      </c>
      <c r="C63" s="33" t="s">
        <v>52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TTT</v>
      </c>
    </row>
    <row r="64" spans="1:36" ht="12.75">
      <c r="A64" s="30">
        <v>6.01</v>
      </c>
      <c r="B64" s="33" t="s">
        <v>32</v>
      </c>
      <c r="C64" s="33" t="s">
        <v>41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TTT</v>
      </c>
    </row>
    <row r="65" spans="1:36" ht="12.75">
      <c r="A65" s="30">
        <v>6.02</v>
      </c>
      <c r="B65" s="33" t="s">
        <v>32</v>
      </c>
      <c r="C65" s="33" t="s">
        <v>41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TTT</v>
      </c>
    </row>
    <row r="66" spans="1:36" ht="12.75">
      <c r="A66" s="30">
        <v>6.03</v>
      </c>
      <c r="B66" s="33" t="s">
        <v>32</v>
      </c>
      <c r="C66" s="33" t="s">
        <v>41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TTT</v>
      </c>
    </row>
    <row r="67" spans="1:36" ht="12.75">
      <c r="A67" s="30">
        <v>6.04</v>
      </c>
      <c r="B67" s="33" t="s">
        <v>32</v>
      </c>
      <c r="C67" s="33" t="s">
        <v>41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TTT</v>
      </c>
    </row>
    <row r="68" spans="1:36" ht="12.75">
      <c r="A68" s="30">
        <v>6.05</v>
      </c>
      <c r="B68" s="32" t="s">
        <v>32</v>
      </c>
      <c r="C68" s="33" t="s">
        <v>53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TTT</v>
      </c>
    </row>
    <row r="69" spans="1:36" ht="12.75">
      <c r="A69" s="30">
        <v>6.06</v>
      </c>
      <c r="B69" s="32" t="s">
        <v>32</v>
      </c>
      <c r="C69" s="33" t="s">
        <v>53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TTT</v>
      </c>
    </row>
    <row r="70" spans="1:36" ht="12.75">
      <c r="A70" s="30">
        <v>6.07</v>
      </c>
      <c r="B70" s="32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30">
        <v>6.08</v>
      </c>
      <c r="B71" s="32" t="s">
        <v>32</v>
      </c>
      <c r="C71" s="33" t="s">
        <v>53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TTT</v>
      </c>
    </row>
    <row r="72" spans="1:36" ht="12.75">
      <c r="A72" s="30">
        <v>6.09</v>
      </c>
      <c r="B72" s="32" t="s">
        <v>32</v>
      </c>
      <c r="C72" s="33" t="s">
        <v>53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TTT</v>
      </c>
    </row>
    <row r="73" spans="1:36" ht="12.75">
      <c r="A73" s="30">
        <v>6.1</v>
      </c>
      <c r="B73" s="33"/>
      <c r="C73" s="33" t="s">
        <v>43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TTT</v>
      </c>
    </row>
    <row r="74" spans="1:36" ht="12.75">
      <c r="A74" s="30">
        <v>6.11</v>
      </c>
      <c r="B74" s="33"/>
      <c r="C74" s="33" t="s">
        <v>43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TTT</v>
      </c>
    </row>
    <row r="75" spans="1:36" ht="12.75">
      <c r="A75" s="30">
        <v>6.12</v>
      </c>
      <c r="B75" s="33"/>
      <c r="C75" s="33" t="s">
        <v>43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TTT</v>
      </c>
    </row>
    <row r="76" spans="1:36" ht="12.75">
      <c r="A76" s="30">
        <v>6.13</v>
      </c>
      <c r="B76" s="33"/>
      <c r="C76" s="33" t="s">
        <v>43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TTT</v>
      </c>
    </row>
    <row r="77" spans="1:36" ht="12.75">
      <c r="A77" s="30">
        <v>6.14</v>
      </c>
      <c r="B77" s="33"/>
      <c r="C77" s="33" t="s">
        <v>33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TTT</v>
      </c>
    </row>
    <row r="78" spans="1:36" ht="12.75">
      <c r="A78" s="30">
        <v>6.15</v>
      </c>
      <c r="B78" s="33"/>
      <c r="C78" s="33" t="s">
        <v>33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TTT</v>
      </c>
    </row>
    <row r="79" spans="1:36" ht="12.75">
      <c r="A79" s="30">
        <v>6.16</v>
      </c>
      <c r="B79" s="33"/>
      <c r="C79" s="33" t="s">
        <v>33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TTT</v>
      </c>
    </row>
    <row r="80" spans="1:36" ht="12.75">
      <c r="A80" s="30">
        <v>6.17</v>
      </c>
      <c r="B80" s="33"/>
      <c r="C80" s="33" t="s">
        <v>33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TTT</v>
      </c>
    </row>
    <row r="81" spans="1:36" ht="12.75">
      <c r="A81" s="30">
        <v>6.18</v>
      </c>
      <c r="B81" s="32" t="s">
        <v>32</v>
      </c>
      <c r="C81" s="33" t="s">
        <v>46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TTT</v>
      </c>
    </row>
    <row r="82" spans="1:36" ht="12.75">
      <c r="A82" s="30">
        <v>6.19</v>
      </c>
      <c r="B82" s="32" t="s">
        <v>32</v>
      </c>
      <c r="C82" s="33" t="s">
        <v>46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TTT</v>
      </c>
    </row>
    <row r="83" spans="1:36" ht="12.75">
      <c r="A83" s="30">
        <v>6.2</v>
      </c>
      <c r="B83" s="32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30">
        <v>6.21</v>
      </c>
      <c r="B84" s="32" t="s">
        <v>32</v>
      </c>
      <c r="C84" s="33" t="s">
        <v>46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TTT</v>
      </c>
    </row>
    <row r="85" spans="1:36" ht="12.75">
      <c r="A85" s="30">
        <v>6.22</v>
      </c>
      <c r="B85" s="32" t="s">
        <v>32</v>
      </c>
      <c r="C85" s="33" t="s">
        <v>46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TTT</v>
      </c>
    </row>
    <row r="86" spans="1:36" ht="12.75">
      <c r="A86" s="30">
        <v>6.23</v>
      </c>
      <c r="B86" s="33" t="s">
        <v>32</v>
      </c>
      <c r="C86" s="76" t="s">
        <v>1919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TTT</v>
      </c>
    </row>
    <row r="87" spans="1:36" ht="12.75">
      <c r="A87" s="30">
        <v>6.24</v>
      </c>
      <c r="B87" s="33" t="s">
        <v>32</v>
      </c>
      <c r="C87" s="76" t="s">
        <v>1919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TTT</v>
      </c>
    </row>
    <row r="88" spans="1:36" ht="12.75">
      <c r="A88" s="30">
        <v>6.25</v>
      </c>
      <c r="B88" s="33" t="s">
        <v>32</v>
      </c>
      <c r="C88" s="76" t="s">
        <v>1919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TTT</v>
      </c>
    </row>
    <row r="89" spans="1:36" ht="12.75">
      <c r="A89" s="30">
        <v>6.26</v>
      </c>
      <c r="B89" s="33" t="s">
        <v>32</v>
      </c>
      <c r="C89" s="76" t="s">
        <v>1919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TTT</v>
      </c>
    </row>
    <row r="90" spans="1:36" ht="12.75">
      <c r="A90" s="30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5">
      <c r="A91" s="30">
        <v>6.28</v>
      </c>
      <c r="B91" s="32" t="s">
        <v>32</v>
      </c>
      <c r="C91" s="36" t="s">
        <v>56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TTT</v>
      </c>
    </row>
    <row r="92" spans="1:36" ht="15">
      <c r="A92" s="30">
        <v>6.29</v>
      </c>
      <c r="B92" s="32" t="s">
        <v>32</v>
      </c>
      <c r="C92" s="36" t="s">
        <v>56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TTT</v>
      </c>
    </row>
    <row r="93" spans="1:36" ht="15">
      <c r="A93" s="30">
        <v>6.3</v>
      </c>
      <c r="B93" s="32" t="s">
        <v>32</v>
      </c>
      <c r="C93" s="36" t="s">
        <v>56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TTT</v>
      </c>
    </row>
    <row r="94" spans="1:36" ht="12.75">
      <c r="A94" s="30">
        <v>7.01</v>
      </c>
      <c r="B94" s="33" t="s">
        <v>32</v>
      </c>
      <c r="C94" s="33" t="s">
        <v>54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TTT</v>
      </c>
    </row>
    <row r="95" spans="1:36" ht="12.75">
      <c r="A95" s="30">
        <v>7.02</v>
      </c>
      <c r="B95" s="33" t="s">
        <v>32</v>
      </c>
      <c r="C95" s="33" t="s">
        <v>54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TTT</v>
      </c>
    </row>
    <row r="96" spans="1:36" ht="12.75">
      <c r="A96" s="30">
        <v>7.03</v>
      </c>
      <c r="B96" s="33" t="s">
        <v>32</v>
      </c>
      <c r="C96" s="33" t="s">
        <v>54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TTT</v>
      </c>
    </row>
    <row r="97" spans="1:36" ht="12.75">
      <c r="A97" s="30">
        <v>7.04</v>
      </c>
      <c r="B97" s="33"/>
      <c r="C97" s="76" t="s">
        <v>1918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TTT</v>
      </c>
    </row>
    <row r="98" spans="1:36" ht="12.75">
      <c r="A98" s="30">
        <v>7.05</v>
      </c>
      <c r="B98" s="33"/>
      <c r="C98" s="76" t="s">
        <v>1918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TTT</v>
      </c>
    </row>
    <row r="99" spans="1:36" ht="12.75">
      <c r="A99" s="30">
        <v>7.06</v>
      </c>
      <c r="B99" s="33"/>
      <c r="C99" s="76" t="s">
        <v>1918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TTT</v>
      </c>
    </row>
    <row r="100" spans="1:36" ht="12.75">
      <c r="A100" s="30">
        <v>7.07</v>
      </c>
      <c r="B100" s="32" t="s">
        <v>32</v>
      </c>
      <c r="C100" s="33" t="s">
        <v>42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TTT</v>
      </c>
    </row>
    <row r="101" spans="1:36" ht="12.75">
      <c r="A101" s="30">
        <v>7.08</v>
      </c>
      <c r="B101" s="32" t="s">
        <v>32</v>
      </c>
      <c r="C101" s="33" t="s">
        <v>42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TTT</v>
      </c>
    </row>
    <row r="102" spans="1:36" ht="12.75">
      <c r="A102" s="30">
        <v>7.09</v>
      </c>
      <c r="B102" s="32" t="s">
        <v>32</v>
      </c>
      <c r="C102" s="33" t="s">
        <v>42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TTT</v>
      </c>
    </row>
    <row r="103" spans="1:36" ht="12.75">
      <c r="A103" s="30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30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30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30">
        <v>7.13</v>
      </c>
      <c r="B106" s="33" t="s">
        <v>32</v>
      </c>
      <c r="C106" s="33" t="s">
        <v>12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TTT</v>
      </c>
    </row>
    <row r="107" spans="1:36" ht="12.75">
      <c r="A107" s="30">
        <v>7.14</v>
      </c>
      <c r="B107" s="33" t="s">
        <v>32</v>
      </c>
      <c r="C107" s="33" t="s">
        <v>12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TTT</v>
      </c>
    </row>
    <row r="108" spans="1:36" ht="12.75">
      <c r="A108" s="30">
        <v>7.15</v>
      </c>
      <c r="B108" s="33" t="s">
        <v>32</v>
      </c>
      <c r="C108" s="33" t="s">
        <v>12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TTT</v>
      </c>
    </row>
    <row r="109" spans="1:36" ht="12.75">
      <c r="A109" s="30">
        <v>7.16</v>
      </c>
      <c r="B109" s="33"/>
      <c r="C109" s="33" t="s">
        <v>49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TTT</v>
      </c>
    </row>
    <row r="110" spans="1:36" ht="12.75">
      <c r="A110" s="30">
        <v>7.17</v>
      </c>
      <c r="B110" s="33"/>
      <c r="C110" s="33" t="s">
        <v>49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TTT</v>
      </c>
    </row>
    <row r="111" spans="1:36" ht="12.75">
      <c r="A111" s="30">
        <v>7.18</v>
      </c>
      <c r="B111" s="33"/>
      <c r="C111" s="33" t="s">
        <v>49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TTT</v>
      </c>
    </row>
    <row r="112" spans="1:36" ht="12.75">
      <c r="A112" s="30">
        <v>7.19</v>
      </c>
      <c r="B112" s="33"/>
      <c r="C112" s="33" t="s">
        <v>13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TTT</v>
      </c>
    </row>
    <row r="113" spans="1:36" ht="12.75">
      <c r="A113" s="30">
        <v>7.2</v>
      </c>
      <c r="B113" s="33"/>
      <c r="C113" s="33" t="s">
        <v>13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TTT</v>
      </c>
    </row>
    <row r="114" spans="1:36" ht="12.75">
      <c r="A114" s="30">
        <v>7.21</v>
      </c>
      <c r="B114" s="33"/>
      <c r="C114" s="33" t="s">
        <v>13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TTT</v>
      </c>
    </row>
    <row r="115" spans="1:36" ht="12.75">
      <c r="A115" s="30">
        <v>7.22</v>
      </c>
      <c r="B115" s="33"/>
      <c r="C115" s="33" t="s">
        <v>13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TTT</v>
      </c>
    </row>
    <row r="116" spans="1:36" ht="12.75">
      <c r="A116" s="30">
        <v>7.23</v>
      </c>
      <c r="B116" s="32" t="s">
        <v>32</v>
      </c>
      <c r="C116" s="33" t="s">
        <v>35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TTT</v>
      </c>
    </row>
    <row r="117" spans="1:36" ht="12.75">
      <c r="A117" s="30">
        <v>7.24</v>
      </c>
      <c r="B117" s="32" t="s">
        <v>32</v>
      </c>
      <c r="C117" s="33" t="s">
        <v>35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TTT</v>
      </c>
    </row>
    <row r="118" spans="1:36" ht="12.75">
      <c r="A118" s="30">
        <v>7.25</v>
      </c>
      <c r="B118" s="32" t="s">
        <v>32</v>
      </c>
      <c r="C118" s="33" t="s">
        <v>35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TTT</v>
      </c>
    </row>
    <row r="119" spans="1:36" ht="12.75">
      <c r="A119" s="30">
        <v>7.26</v>
      </c>
      <c r="B119" s="32" t="s">
        <v>32</v>
      </c>
      <c r="C119" s="33" t="s">
        <v>35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TTT</v>
      </c>
    </row>
    <row r="120" spans="1:36" ht="12.75">
      <c r="A120" s="30">
        <v>7.27</v>
      </c>
      <c r="B120" s="32" t="s">
        <v>32</v>
      </c>
      <c r="C120" s="33" t="s">
        <v>40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TTT</v>
      </c>
    </row>
    <row r="121" spans="1:36" ht="12.75">
      <c r="A121" s="30">
        <v>7.28</v>
      </c>
      <c r="B121" s="32" t="s">
        <v>32</v>
      </c>
      <c r="C121" s="33" t="s">
        <v>40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TTT</v>
      </c>
    </row>
    <row r="122" spans="1:36" ht="12.75">
      <c r="A122" s="30">
        <v>7.29</v>
      </c>
      <c r="B122" s="32" t="s">
        <v>32</v>
      </c>
      <c r="C122" s="33" t="s">
        <v>40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TTT</v>
      </c>
    </row>
    <row r="123" spans="1:36" ht="12.75">
      <c r="A123" s="30">
        <v>7.3</v>
      </c>
      <c r="B123" s="32" t="s">
        <v>32</v>
      </c>
      <c r="C123" s="33" t="s">
        <v>40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TTT</v>
      </c>
    </row>
    <row r="124" spans="1:36" ht="12.75">
      <c r="A124" s="30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30">
        <v>8.01</v>
      </c>
      <c r="B125" s="33"/>
      <c r="C125" s="33" t="s">
        <v>51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TTT</v>
      </c>
    </row>
    <row r="126" spans="1:36" ht="12.75">
      <c r="A126" s="30">
        <v>8.02</v>
      </c>
      <c r="B126" s="33"/>
      <c r="C126" s="33" t="s">
        <v>51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TTT</v>
      </c>
    </row>
    <row r="127" spans="1:36" ht="12.75">
      <c r="A127" s="30">
        <v>8.0299999999999994</v>
      </c>
      <c r="B127" s="33"/>
      <c r="C127" s="33" t="s">
        <v>51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TTT</v>
      </c>
    </row>
    <row r="128" spans="1:36" ht="12.75">
      <c r="A128" s="30">
        <v>8.0399999999999991</v>
      </c>
      <c r="B128" s="33"/>
      <c r="C128" s="33" t="s">
        <v>51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TTT</v>
      </c>
    </row>
    <row r="129" spans="1:36" ht="12.75">
      <c r="A129" s="30">
        <v>8.0500000000000007</v>
      </c>
      <c r="B129" s="33"/>
      <c r="C129" s="33" t="s">
        <v>54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TTT</v>
      </c>
    </row>
    <row r="130" spans="1:36" ht="12.75">
      <c r="A130" s="30">
        <v>8.06</v>
      </c>
      <c r="B130" s="33"/>
      <c r="C130" s="33" t="s">
        <v>54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TTT</v>
      </c>
    </row>
    <row r="131" spans="1:36" ht="12.75">
      <c r="A131" s="30">
        <v>8.07</v>
      </c>
      <c r="B131" s="33"/>
      <c r="C131" s="33" t="s">
        <v>54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TTT</v>
      </c>
    </row>
    <row r="132" spans="1:36" ht="12.75">
      <c r="A132" s="30">
        <v>8.08</v>
      </c>
      <c r="B132" s="33"/>
      <c r="C132" s="33" t="s">
        <v>54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TTT</v>
      </c>
    </row>
    <row r="133" spans="1:36" ht="12.75">
      <c r="A133" s="30">
        <v>8.09</v>
      </c>
      <c r="B133" s="33" t="s">
        <v>32</v>
      </c>
      <c r="C133" s="33" t="s">
        <v>49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TTT</v>
      </c>
    </row>
    <row r="134" spans="1:36" ht="12.75">
      <c r="A134" s="30">
        <v>8.1</v>
      </c>
      <c r="B134" s="33" t="s">
        <v>32</v>
      </c>
      <c r="C134" s="33" t="s">
        <v>49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TTT</v>
      </c>
    </row>
    <row r="135" spans="1:36" ht="12.75">
      <c r="A135" s="30">
        <v>8.11</v>
      </c>
      <c r="B135" s="33" t="s">
        <v>32</v>
      </c>
      <c r="C135" s="33" t="s">
        <v>49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TTT</v>
      </c>
    </row>
    <row r="136" spans="1:36" ht="12.75">
      <c r="A136" s="30">
        <v>8.1199999999999992</v>
      </c>
      <c r="B136" s="33" t="s">
        <v>32</v>
      </c>
      <c r="C136" s="33" t="s">
        <v>49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TTT</v>
      </c>
    </row>
    <row r="137" spans="1:36" ht="12.75">
      <c r="A137" s="30">
        <v>8.1300000000000008</v>
      </c>
      <c r="B137" s="32"/>
      <c r="C137" s="33" t="s">
        <v>56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TTT</v>
      </c>
    </row>
    <row r="138" spans="1:36" ht="12.75">
      <c r="A138" s="30">
        <v>8.14</v>
      </c>
      <c r="B138" s="32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30">
        <v>8.15</v>
      </c>
      <c r="B139" s="32"/>
      <c r="C139" s="33" t="s">
        <v>56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TTT</v>
      </c>
    </row>
    <row r="140" spans="1:36" ht="12.75">
      <c r="A140" s="30">
        <v>8.16</v>
      </c>
      <c r="B140" s="32"/>
      <c r="C140" s="33" t="s">
        <v>56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TTT</v>
      </c>
    </row>
    <row r="141" spans="1:36" ht="12.75">
      <c r="A141" s="30">
        <v>8.17</v>
      </c>
      <c r="B141" s="32"/>
      <c r="C141" s="33" t="s">
        <v>56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TTT</v>
      </c>
    </row>
    <row r="142" spans="1:36" ht="12.75">
      <c r="A142" s="30">
        <v>8.18</v>
      </c>
      <c r="B142" s="34"/>
      <c r="C142" s="33" t="s">
        <v>44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TTT</v>
      </c>
    </row>
    <row r="143" spans="1:36" ht="12.75">
      <c r="A143" s="30">
        <v>8.19</v>
      </c>
      <c r="B143" s="34"/>
      <c r="C143" s="33" t="s">
        <v>44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TTT</v>
      </c>
    </row>
    <row r="144" spans="1:36" ht="12.75">
      <c r="A144" s="30">
        <v>8.1999999999999993</v>
      </c>
      <c r="B144" s="34"/>
      <c r="C144" s="33" t="s">
        <v>44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TTT</v>
      </c>
    </row>
    <row r="145" spans="1:36" ht="12.75">
      <c r="A145" s="30">
        <v>8.2100000000000009</v>
      </c>
      <c r="B145" s="33"/>
      <c r="C145" s="33" t="s">
        <v>12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TTT</v>
      </c>
    </row>
    <row r="146" spans="1:36" ht="12.75">
      <c r="A146" s="30">
        <v>8.2200000000000006</v>
      </c>
      <c r="B146" s="33"/>
      <c r="C146" s="33" t="s">
        <v>12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TTT</v>
      </c>
    </row>
    <row r="147" spans="1:36" ht="12.75">
      <c r="A147" s="30">
        <v>8.23</v>
      </c>
      <c r="B147" s="33"/>
      <c r="C147" s="33" t="s">
        <v>12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TTT</v>
      </c>
    </row>
    <row r="148" spans="1:36" ht="12.75">
      <c r="A148" s="30">
        <v>8.24</v>
      </c>
      <c r="B148" s="33"/>
      <c r="C148" s="33" t="s">
        <v>12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TTT</v>
      </c>
    </row>
    <row r="149" spans="1:36" ht="12.75">
      <c r="A149" s="30">
        <v>8.25</v>
      </c>
      <c r="B149" s="33" t="s">
        <v>32</v>
      </c>
      <c r="C149" s="76" t="s">
        <v>1918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TTT</v>
      </c>
    </row>
    <row r="150" spans="1:36" ht="12.75">
      <c r="A150" s="30">
        <v>8.26</v>
      </c>
      <c r="B150" s="33" t="s">
        <v>32</v>
      </c>
      <c r="C150" s="76" t="s">
        <v>1918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TTT</v>
      </c>
    </row>
    <row r="151" spans="1:36" ht="12.75">
      <c r="A151" s="30">
        <v>8.27</v>
      </c>
      <c r="B151" s="33" t="s">
        <v>32</v>
      </c>
      <c r="C151" s="76" t="s">
        <v>1918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TTT</v>
      </c>
    </row>
    <row r="152" spans="1:36" ht="12.75">
      <c r="A152" s="30">
        <v>8.2799999999999994</v>
      </c>
      <c r="B152" s="33" t="s">
        <v>32</v>
      </c>
      <c r="C152" s="76" t="s">
        <v>1918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TTT</v>
      </c>
    </row>
    <row r="153" spans="1:36" ht="12.75">
      <c r="A153" s="30">
        <v>8.2899999999999991</v>
      </c>
      <c r="B153" s="33"/>
      <c r="C153" s="33" t="s">
        <v>15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TTT</v>
      </c>
    </row>
    <row r="154" spans="1:36" ht="12.75">
      <c r="A154" s="30">
        <v>8.3000000000000007</v>
      </c>
      <c r="B154" s="33"/>
      <c r="C154" s="33" t="s">
        <v>15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TTT</v>
      </c>
    </row>
    <row r="155" spans="1:36" ht="12.75">
      <c r="A155" s="30">
        <v>8.31</v>
      </c>
      <c r="B155" s="33"/>
      <c r="C155" s="33" t="s">
        <v>15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TTT</v>
      </c>
    </row>
    <row r="156" spans="1:36" ht="12.75">
      <c r="A156" s="30" t="s">
        <v>36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30">
        <v>9.02</v>
      </c>
      <c r="B157" s="34"/>
      <c r="C157" s="33" t="s">
        <v>48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TTT</v>
      </c>
    </row>
    <row r="158" spans="1:36" ht="12.75">
      <c r="A158" s="30">
        <v>9.0299999999999994</v>
      </c>
      <c r="B158" s="34"/>
      <c r="C158" s="33" t="s">
        <v>48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TTT</v>
      </c>
    </row>
    <row r="159" spans="1:36" ht="12.75">
      <c r="A159" s="30">
        <v>9.0399999999999991</v>
      </c>
      <c r="B159" s="34"/>
      <c r="C159" s="33" t="s">
        <v>48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TTT</v>
      </c>
    </row>
    <row r="160" spans="1:36" ht="12.75">
      <c r="A160" s="30">
        <v>9.0500000000000007</v>
      </c>
      <c r="B160" s="33"/>
      <c r="C160" s="33" t="s">
        <v>53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TTT</v>
      </c>
    </row>
    <row r="161" spans="1:36" ht="12.75">
      <c r="A161" s="30">
        <v>9.06</v>
      </c>
      <c r="B161" s="33"/>
      <c r="C161" s="33" t="s">
        <v>53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TTT</v>
      </c>
    </row>
    <row r="162" spans="1:36" ht="12.75">
      <c r="A162" s="30">
        <v>9.07</v>
      </c>
      <c r="B162" s="33"/>
      <c r="C162" s="33" t="s">
        <v>53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TTT</v>
      </c>
    </row>
    <row r="163" spans="1:36" ht="12.75">
      <c r="A163" s="30">
        <v>9.08</v>
      </c>
      <c r="B163" s="33" t="s">
        <v>32</v>
      </c>
      <c r="C163" s="33" t="s">
        <v>39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TTT</v>
      </c>
    </row>
    <row r="164" spans="1:36" ht="12.75">
      <c r="A164" s="30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30">
        <v>9.1</v>
      </c>
      <c r="B165" s="33" t="s">
        <v>32</v>
      </c>
      <c r="C165" s="33" t="s">
        <v>39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TTT</v>
      </c>
    </row>
    <row r="166" spans="1:36" ht="12.75">
      <c r="A166" s="30">
        <v>9.11</v>
      </c>
      <c r="B166" s="33" t="s">
        <v>32</v>
      </c>
      <c r="C166" s="33" t="s">
        <v>39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TTT</v>
      </c>
    </row>
    <row r="167" spans="1:36" ht="12.75">
      <c r="A167" s="30">
        <v>9.1199999999999992</v>
      </c>
      <c r="B167" s="33"/>
      <c r="C167" s="33" t="s">
        <v>52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TTT</v>
      </c>
    </row>
    <row r="168" spans="1:36" ht="12.75">
      <c r="A168" s="30">
        <v>9.1300000000000008</v>
      </c>
      <c r="B168" s="33"/>
      <c r="C168" s="33" t="s">
        <v>52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TTT</v>
      </c>
    </row>
    <row r="169" spans="1:36" ht="12.75">
      <c r="A169" s="30">
        <v>9.14</v>
      </c>
      <c r="B169" s="33"/>
      <c r="C169" s="33" t="s">
        <v>52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TTT</v>
      </c>
    </row>
    <row r="170" spans="1:36" ht="12.75">
      <c r="A170" s="30">
        <v>9.15</v>
      </c>
      <c r="B170" s="33"/>
      <c r="C170" s="33" t="s">
        <v>52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TTT</v>
      </c>
    </row>
    <row r="171" spans="1:36" ht="12.75">
      <c r="A171" s="30">
        <v>9.16</v>
      </c>
      <c r="B171" s="33" t="s">
        <v>32</v>
      </c>
      <c r="C171" s="33" t="s">
        <v>51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TTT</v>
      </c>
    </row>
    <row r="172" spans="1:36" ht="12.75">
      <c r="A172" s="30">
        <v>9.17</v>
      </c>
      <c r="B172" s="33" t="s">
        <v>32</v>
      </c>
      <c r="C172" s="33" t="s">
        <v>51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TTT</v>
      </c>
    </row>
    <row r="173" spans="1:36" ht="12.75">
      <c r="A173" s="30">
        <v>9.18</v>
      </c>
      <c r="B173" s="33" t="s">
        <v>32</v>
      </c>
      <c r="C173" s="33" t="s">
        <v>51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TTT</v>
      </c>
    </row>
    <row r="174" spans="1:36" ht="12.75">
      <c r="A174" s="30">
        <v>9.19</v>
      </c>
      <c r="B174" s="33"/>
      <c r="C174" s="33" t="s">
        <v>42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TTT</v>
      </c>
    </row>
    <row r="175" spans="1:36" ht="12.75">
      <c r="A175" s="30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30">
        <v>9.2100000000000009</v>
      </c>
      <c r="B176" s="33"/>
      <c r="C176" s="33" t="s">
        <v>42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TTT</v>
      </c>
    </row>
    <row r="177" spans="1:36" ht="12.75">
      <c r="A177" s="30">
        <v>9.2200000000000006</v>
      </c>
      <c r="B177" s="33"/>
      <c r="C177" s="33" t="s">
        <v>42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TTT</v>
      </c>
    </row>
    <row r="178" spans="1:36" ht="12.75">
      <c r="A178" s="30">
        <v>9.23</v>
      </c>
      <c r="B178" s="33"/>
      <c r="C178" s="33" t="s">
        <v>42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TTT</v>
      </c>
    </row>
    <row r="179" spans="1:36" ht="12.75">
      <c r="A179" s="30">
        <v>9.24</v>
      </c>
      <c r="B179" s="34"/>
      <c r="C179" s="33" t="s">
        <v>17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TTT</v>
      </c>
    </row>
    <row r="180" spans="1:36" ht="12.75">
      <c r="A180" s="30">
        <v>9.25</v>
      </c>
      <c r="B180" s="34"/>
      <c r="C180" s="33" t="s">
        <v>17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TTT</v>
      </c>
    </row>
    <row r="181" spans="1:36" ht="12.75">
      <c r="A181" s="30">
        <v>9.26</v>
      </c>
      <c r="B181" s="34"/>
      <c r="C181" s="33" t="s">
        <v>17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TTT</v>
      </c>
    </row>
    <row r="182" spans="1:36" ht="12.75">
      <c r="A182" s="30">
        <v>9.27</v>
      </c>
      <c r="B182" s="33"/>
      <c r="C182" s="76" t="s">
        <v>1919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TTT</v>
      </c>
    </row>
    <row r="183" spans="1:36" ht="12.75">
      <c r="A183" s="30">
        <v>9.2799999999999994</v>
      </c>
      <c r="B183" s="33"/>
      <c r="C183" s="76" t="s">
        <v>1919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TTT</v>
      </c>
    </row>
    <row r="184" spans="1:36" ht="12.75">
      <c r="A184" s="30">
        <v>9.2899999999999991</v>
      </c>
      <c r="B184" s="33"/>
      <c r="C184" s="76" t="s">
        <v>1919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TTT</v>
      </c>
    </row>
    <row r="185" spans="1:36" ht="12.75">
      <c r="A185" s="30">
        <v>9.3000000000000007</v>
      </c>
      <c r="B185" s="33"/>
      <c r="C185" s="76" t="s">
        <v>1919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TTT</v>
      </c>
    </row>
    <row r="186" spans="1:36">
      <c r="A186" s="30"/>
      <c r="B186" s="30"/>
      <c r="D186" s="15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30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30"/>
      <c r="B188" s="30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30"/>
      <c r="B189" s="30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30"/>
      <c r="B190" s="30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A191" s="30"/>
      <c r="B191" s="30"/>
      <c r="C191" s="6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Q191" s="5"/>
      <c r="R191" s="10"/>
      <c r="AJ191" s="2"/>
    </row>
    <row r="192" spans="1:36">
      <c r="A192" s="30"/>
      <c r="B192" s="30"/>
      <c r="C192" s="6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Q192" s="5"/>
      <c r="R192" s="10"/>
      <c r="AJ192" s="2"/>
    </row>
    <row r="193" spans="1:36">
      <c r="A193" s="30"/>
      <c r="B193" s="30"/>
      <c r="C193" s="6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Q193" s="5"/>
      <c r="R193" s="10"/>
      <c r="AJ193" s="2"/>
    </row>
    <row r="194" spans="1:36">
      <c r="D194" s="15"/>
      <c r="K194" s="2"/>
      <c r="AJ194" s="2"/>
    </row>
    <row r="195" spans="1:36">
      <c r="D195" s="15"/>
      <c r="K195" s="2"/>
      <c r="AJ195" s="2"/>
    </row>
    <row r="196" spans="1:36">
      <c r="K196" s="2"/>
      <c r="AJ196" s="2"/>
    </row>
    <row r="197" spans="1:36">
      <c r="K197" s="2"/>
      <c r="AJ197" s="2"/>
    </row>
    <row r="198" spans="1:36">
      <c r="K198" s="2"/>
      <c r="AJ198" s="2"/>
    </row>
    <row r="199" spans="1:36">
      <c r="K199" s="2"/>
      <c r="AJ199" s="2"/>
    </row>
    <row r="200" spans="1:36">
      <c r="K200" s="2"/>
      <c r="AJ200" s="2"/>
    </row>
    <row r="201" spans="1:36">
      <c r="K201" s="2"/>
      <c r="AJ201" s="2"/>
    </row>
    <row r="202" spans="1:36">
      <c r="K202" s="2"/>
      <c r="AJ202" s="2"/>
    </row>
    <row r="203" spans="1:36">
      <c r="K203" s="2"/>
      <c r="AJ203" s="2"/>
    </row>
    <row r="204" spans="1:36">
      <c r="AJ204" s="2"/>
    </row>
    <row r="205" spans="1:36">
      <c r="AJ205" s="2"/>
    </row>
    <row r="206" spans="1:36">
      <c r="AJ206" s="2"/>
    </row>
    <row r="207" spans="1:36">
      <c r="AJ207" s="2"/>
    </row>
    <row r="208" spans="1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H3:AH22">
    <cfRule type="cellIs" dxfId="572" priority="3202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71" priority="3203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570" priority="3204" stopIfTrue="1" operator="equal">
      <formula>"input a different starter in column C"</formula>
    </cfRule>
  </conditionalFormatting>
  <conditionalFormatting sqref="AH23">
    <cfRule type="cellIs" dxfId="569" priority="3206" stopIfTrue="1" operator="equal">
      <formula>"must have 162 starts"</formula>
    </cfRule>
  </conditionalFormatting>
  <conditionalFormatting sqref="AG3:AG22">
    <cfRule type="cellIs" dxfId="568" priority="2890" stopIfTrue="1" operator="equal">
      <formula>"must average at least 5 innings per start"</formula>
    </cfRule>
  </conditionalFormatting>
  <conditionalFormatting sqref="AG23">
    <cfRule type="cellIs" dxfId="567" priority="2889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66" priority="288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65" priority="288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64" priority="288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63" priority="288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62" priority="288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561" priority="2883" stopIfTrue="1" operator="equal">
      <formula>"input starter in column C"</formula>
    </cfRule>
  </conditionalFormatting>
  <conditionalFormatting sqref="P3">
    <cfRule type="cellIs" dxfId="560" priority="2882" stopIfTrue="1" operator="equal">
      <formula>"input starter in column D"</formula>
    </cfRule>
  </conditionalFormatting>
  <conditionalFormatting sqref="P4">
    <cfRule type="cellIs" dxfId="559" priority="2881" stopIfTrue="1" operator="equal">
      <formula>"input starter in column D"</formula>
    </cfRule>
  </conditionalFormatting>
  <conditionalFormatting sqref="P5">
    <cfRule type="cellIs" dxfId="558" priority="2880" stopIfTrue="1" operator="equal">
      <formula>"INPUT STARTER IN COLUMN D"</formula>
    </cfRule>
  </conditionalFormatting>
  <conditionalFormatting sqref="P6">
    <cfRule type="cellIs" dxfId="557" priority="2879" stopIfTrue="1" operator="equal">
      <formula>"INPUT STARTER IN COLUMN D"</formula>
    </cfRule>
  </conditionalFormatting>
  <conditionalFormatting sqref="P8">
    <cfRule type="cellIs" dxfId="556" priority="2878" stopIfTrue="1" operator="equal">
      <formula>"INPUT STARTER IN COLUMN D"</formula>
    </cfRule>
  </conditionalFormatting>
  <conditionalFormatting sqref="P9">
    <cfRule type="cellIs" dxfId="555" priority="2877" stopIfTrue="1" operator="equal">
      <formula>"INPUT STARTER IN COLUMN D"</formula>
    </cfRule>
  </conditionalFormatting>
  <conditionalFormatting sqref="P10">
    <cfRule type="cellIs" dxfId="554" priority="2876" stopIfTrue="1" operator="equal">
      <formula>"INPUT STARTER IN COLUMN D"</formula>
    </cfRule>
  </conditionalFormatting>
  <conditionalFormatting sqref="P11">
    <cfRule type="cellIs" dxfId="553" priority="2875" stopIfTrue="1" operator="equal">
      <formula>"INPUT STARTER IN COLUMN D"</formula>
    </cfRule>
  </conditionalFormatting>
  <conditionalFormatting sqref="P13">
    <cfRule type="cellIs" dxfId="552" priority="2874" stopIfTrue="1" operator="equal">
      <formula>"INPUT STARTER IN COLUMN D"</formula>
    </cfRule>
  </conditionalFormatting>
  <conditionalFormatting sqref="P14">
    <cfRule type="cellIs" dxfId="551" priority="2873" stopIfTrue="1" operator="equal">
      <formula>"INPUT STARTER IN COLUMN D"</formula>
    </cfRule>
  </conditionalFormatting>
  <conditionalFormatting sqref="P15">
    <cfRule type="cellIs" dxfId="550" priority="2872" stopIfTrue="1" operator="equal">
      <formula>"INPUT STARTER IN COLUMN D"</formula>
    </cfRule>
  </conditionalFormatting>
  <conditionalFormatting sqref="P16">
    <cfRule type="cellIs" dxfId="549" priority="2871" stopIfTrue="1" operator="equal">
      <formula>"INPUT STARTER IN COLUMN D"</formula>
    </cfRule>
  </conditionalFormatting>
  <conditionalFormatting sqref="P18">
    <cfRule type="cellIs" dxfId="548" priority="2870" stopIfTrue="1" operator="equal">
      <formula>"INPUT STARTER IN COLUMN D"</formula>
    </cfRule>
  </conditionalFormatting>
  <conditionalFormatting sqref="P19">
    <cfRule type="cellIs" dxfId="547" priority="2869" stopIfTrue="1" operator="equal">
      <formula>"INPUT STARTER IN COLUMN D"</formula>
    </cfRule>
  </conditionalFormatting>
  <conditionalFormatting sqref="P20">
    <cfRule type="cellIs" dxfId="546" priority="2868" stopIfTrue="1" operator="equal">
      <formula>"INPUT STARTER IN COLUMN D"</formula>
    </cfRule>
  </conditionalFormatting>
  <conditionalFormatting sqref="P21">
    <cfRule type="cellIs" dxfId="545" priority="2867" stopIfTrue="1" operator="equal">
      <formula>"INPUT STARTER IN COLUMN D"</formula>
    </cfRule>
  </conditionalFormatting>
  <conditionalFormatting sqref="P23">
    <cfRule type="cellIs" dxfId="544" priority="2866" stopIfTrue="1" operator="equal">
      <formula>"INPUT STARTER IN COLUMN D"</formula>
    </cfRule>
  </conditionalFormatting>
  <conditionalFormatting sqref="P24">
    <cfRule type="cellIs" dxfId="543" priority="2865" stopIfTrue="1" operator="equal">
      <formula>"INPUT STARTER IN COLUMN D"</formula>
    </cfRule>
  </conditionalFormatting>
  <conditionalFormatting sqref="P25">
    <cfRule type="cellIs" dxfId="542" priority="2864" stopIfTrue="1" operator="equal">
      <formula>"INPUT STARTER IN COLUMN D"</formula>
    </cfRule>
  </conditionalFormatting>
  <conditionalFormatting sqref="P26">
    <cfRule type="cellIs" dxfId="541" priority="2863" stopIfTrue="1" operator="equal">
      <formula>"INPUT STARTER IN COLUMN D"</formula>
    </cfRule>
  </conditionalFormatting>
  <conditionalFormatting sqref="P28">
    <cfRule type="cellIs" dxfId="540" priority="2862" stopIfTrue="1" operator="equal">
      <formula>"INPUT STARTER IN COLUMN D"</formula>
    </cfRule>
  </conditionalFormatting>
  <conditionalFormatting sqref="P29">
    <cfRule type="cellIs" dxfId="539" priority="2861" stopIfTrue="1" operator="equal">
      <formula>"INPUT STARTER IN COLUMN D"</formula>
    </cfRule>
  </conditionalFormatting>
  <conditionalFormatting sqref="P30">
    <cfRule type="cellIs" dxfId="538" priority="2860" stopIfTrue="1" operator="equal">
      <formula>"INPUT STARTER IN COLUMN D"</formula>
    </cfRule>
  </conditionalFormatting>
  <conditionalFormatting sqref="P31">
    <cfRule type="cellIs" dxfId="537" priority="2859" stopIfTrue="1" operator="equal">
      <formula>"INPUT STARTER IN COLUMN D"</formula>
    </cfRule>
  </conditionalFormatting>
  <conditionalFormatting sqref="P33">
    <cfRule type="cellIs" dxfId="536" priority="2858" stopIfTrue="1" operator="equal">
      <formula>"INPUT STARTER IN COLUMN D"</formula>
    </cfRule>
  </conditionalFormatting>
  <conditionalFormatting sqref="P34">
    <cfRule type="cellIs" dxfId="535" priority="2857" stopIfTrue="1" operator="equal">
      <formula>"INPUT STARTER IN COLUMN D"</formula>
    </cfRule>
  </conditionalFormatting>
  <conditionalFormatting sqref="P35">
    <cfRule type="cellIs" dxfId="534" priority="2856" stopIfTrue="1" operator="equal">
      <formula>"INPUT STARTER IN COLUMN D"</formula>
    </cfRule>
  </conditionalFormatting>
  <conditionalFormatting sqref="P36">
    <cfRule type="cellIs" dxfId="533" priority="2855" stopIfTrue="1" operator="equal">
      <formula>"INPUT STARTER IN COLUMN D"</formula>
    </cfRule>
  </conditionalFormatting>
  <conditionalFormatting sqref="P37">
    <cfRule type="cellIs" dxfId="532" priority="2854" stopIfTrue="1" operator="equal">
      <formula>"INPUT STARTER IN COLUMN D"</formula>
    </cfRule>
  </conditionalFormatting>
  <conditionalFormatting sqref="P38">
    <cfRule type="cellIs" dxfId="531" priority="2853" stopIfTrue="1" operator="equal">
      <formula>"INPUT STARTER IN COLUMN D"</formula>
    </cfRule>
  </conditionalFormatting>
  <conditionalFormatting sqref="P39">
    <cfRule type="cellIs" dxfId="530" priority="2852" stopIfTrue="1" operator="equal">
      <formula>"INPUT STARTER IN COLUMN D"</formula>
    </cfRule>
  </conditionalFormatting>
  <conditionalFormatting sqref="P40">
    <cfRule type="cellIs" dxfId="529" priority="2851" stopIfTrue="1" operator="equal">
      <formula>"INPUT STARTER IN COLUMN D"</formula>
    </cfRule>
  </conditionalFormatting>
  <conditionalFormatting sqref="P42">
    <cfRule type="cellIs" dxfId="528" priority="2850" stopIfTrue="1" operator="equal">
      <formula>"INPUT STARTER IN COLUMN D"</formula>
    </cfRule>
  </conditionalFormatting>
  <conditionalFormatting sqref="P43">
    <cfRule type="cellIs" dxfId="527" priority="2849" stopIfTrue="1" operator="equal">
      <formula>"INPUT STARTER IN COLUMN D"</formula>
    </cfRule>
  </conditionalFormatting>
  <conditionalFormatting sqref="P44">
    <cfRule type="cellIs" dxfId="526" priority="2848" stopIfTrue="1" operator="equal">
      <formula>"INPUT STARTER IN COLUMN D"</formula>
    </cfRule>
  </conditionalFormatting>
  <conditionalFormatting sqref="P45">
    <cfRule type="cellIs" dxfId="525" priority="2847" stopIfTrue="1" operator="equal">
      <formula>"INPUT STARTER IN COLUMN D"</formula>
    </cfRule>
  </conditionalFormatting>
  <conditionalFormatting sqref="P46">
    <cfRule type="cellIs" dxfId="524" priority="2846" stopIfTrue="1" operator="equal">
      <formula>"INPUT STARTER IN COLUMN D"</formula>
    </cfRule>
  </conditionalFormatting>
  <conditionalFormatting sqref="P47">
    <cfRule type="cellIs" dxfId="523" priority="2845" stopIfTrue="1" operator="equal">
      <formula>"INPUT STARTER IN COLUMN D"</formula>
    </cfRule>
  </conditionalFormatting>
  <conditionalFormatting sqref="P49">
    <cfRule type="cellIs" dxfId="522" priority="2844" stopIfTrue="1" operator="equal">
      <formula>"INPUT STARTER IN COLUMN D"</formula>
    </cfRule>
  </conditionalFormatting>
  <conditionalFormatting sqref="P50">
    <cfRule type="cellIs" dxfId="521" priority="2843" stopIfTrue="1" operator="equal">
      <formula>"INPUT STARTER IN COLUMN D"</formula>
    </cfRule>
  </conditionalFormatting>
  <conditionalFormatting sqref="P51">
    <cfRule type="cellIs" dxfId="520" priority="2842" stopIfTrue="1" operator="equal">
      <formula>"INPUT STARTER IN COLUMN D"</formula>
    </cfRule>
  </conditionalFormatting>
  <conditionalFormatting sqref="P52">
    <cfRule type="cellIs" dxfId="519" priority="2841" stopIfTrue="1" operator="equal">
      <formula>"INPUT STARTER IN COLUMN D"</formula>
    </cfRule>
  </conditionalFormatting>
  <conditionalFormatting sqref="P53">
    <cfRule type="cellIs" dxfId="518" priority="2840" stopIfTrue="1" operator="equal">
      <formula>"INPUT STARTER IN COLUMN D"</formula>
    </cfRule>
  </conditionalFormatting>
  <conditionalFormatting sqref="P54">
    <cfRule type="cellIs" dxfId="517" priority="2839" stopIfTrue="1" operator="equal">
      <formula>"INPUT STARTER IN COLUMN D"</formula>
    </cfRule>
  </conditionalFormatting>
  <conditionalFormatting sqref="P56">
    <cfRule type="cellIs" dxfId="516" priority="2838" stopIfTrue="1" operator="equal">
      <formula>"INPUT STARTER IN COLUMN D"</formula>
    </cfRule>
  </conditionalFormatting>
  <conditionalFormatting sqref="P57">
    <cfRule type="cellIs" dxfId="515" priority="2837" stopIfTrue="1" operator="equal">
      <formula>"INPUT STARTER IN COLUMN D"</formula>
    </cfRule>
  </conditionalFormatting>
  <conditionalFormatting sqref="P58">
    <cfRule type="cellIs" dxfId="514" priority="2836" stopIfTrue="1" operator="equal">
      <formula>"INPUT STARTER IN COLUMN D"</formula>
    </cfRule>
  </conditionalFormatting>
  <conditionalFormatting sqref="P59">
    <cfRule type="cellIs" dxfId="513" priority="2835" stopIfTrue="1" operator="equal">
      <formula>"INPUT STARTER IN COLUMN D"</formula>
    </cfRule>
  </conditionalFormatting>
  <conditionalFormatting sqref="P60">
    <cfRule type="cellIs" dxfId="512" priority="2834" stopIfTrue="1" operator="equal">
      <formula>"INPUT STARTER IN COLUMN D"</formula>
    </cfRule>
  </conditionalFormatting>
  <conditionalFormatting sqref="P61">
    <cfRule type="cellIs" dxfId="511" priority="2833" stopIfTrue="1" operator="equal">
      <formula>"INPUT STARTER IN COLUMN D"</formula>
    </cfRule>
  </conditionalFormatting>
  <conditionalFormatting sqref="P63">
    <cfRule type="cellIs" dxfId="510" priority="2832" stopIfTrue="1" operator="equal">
      <formula>"INPUT STARTER IN COLUMN D"</formula>
    </cfRule>
  </conditionalFormatting>
  <conditionalFormatting sqref="P64">
    <cfRule type="cellIs" dxfId="509" priority="2831" stopIfTrue="1" operator="equal">
      <formula>"INPUT STARTER IN COLUMN D"</formula>
    </cfRule>
  </conditionalFormatting>
  <conditionalFormatting sqref="P65">
    <cfRule type="cellIs" dxfId="508" priority="2830" stopIfTrue="1" operator="equal">
      <formula>"INPUT STARTER IN COLUMN D"</formula>
    </cfRule>
  </conditionalFormatting>
  <conditionalFormatting sqref="P66">
    <cfRule type="cellIs" dxfId="507" priority="2829" stopIfTrue="1" operator="equal">
      <formula>"INPUT STARTER IN COLUMN D"</formula>
    </cfRule>
  </conditionalFormatting>
  <conditionalFormatting sqref="P67">
    <cfRule type="cellIs" dxfId="506" priority="2828" stopIfTrue="1" operator="equal">
      <formula>"INPUT STARTER IN COLUMN D"</formula>
    </cfRule>
  </conditionalFormatting>
  <conditionalFormatting sqref="P68">
    <cfRule type="cellIs" dxfId="505" priority="2827" stopIfTrue="1" operator="equal">
      <formula>"INPUT STARTER IN COLUMN D"</formula>
    </cfRule>
  </conditionalFormatting>
  <conditionalFormatting sqref="P69">
    <cfRule type="cellIs" dxfId="504" priority="2826" stopIfTrue="1" operator="equal">
      <formula>"INPUT STARTER IN COLUMN D"</formula>
    </cfRule>
  </conditionalFormatting>
  <conditionalFormatting sqref="P71">
    <cfRule type="cellIs" dxfId="503" priority="2825" stopIfTrue="1" operator="equal">
      <formula>"INPUT STARTER IN COLUMN D"</formula>
    </cfRule>
  </conditionalFormatting>
  <conditionalFormatting sqref="P72">
    <cfRule type="cellIs" dxfId="502" priority="2824" stopIfTrue="1" operator="equal">
      <formula>"INPUT STARTER IN COLUMN D"</formula>
    </cfRule>
  </conditionalFormatting>
  <conditionalFormatting sqref="P73">
    <cfRule type="cellIs" dxfId="501" priority="2823" stopIfTrue="1" operator="equal">
      <formula>"INPUT STARTER IN COLUMN D"</formula>
    </cfRule>
  </conditionalFormatting>
  <conditionalFormatting sqref="P74">
    <cfRule type="cellIs" dxfId="500" priority="2822" stopIfTrue="1" operator="equal">
      <formula>"INPUT STARTER IN COLUMN D"</formula>
    </cfRule>
  </conditionalFormatting>
  <conditionalFormatting sqref="P75">
    <cfRule type="cellIs" dxfId="499" priority="2821" stopIfTrue="1" operator="equal">
      <formula>"INPUT STARTER IN COLUMN D"</formula>
    </cfRule>
  </conditionalFormatting>
  <conditionalFormatting sqref="P76">
    <cfRule type="cellIs" dxfId="498" priority="2820" stopIfTrue="1" operator="equal">
      <formula>"INPUT STARTER IN COLUMN D"</formula>
    </cfRule>
  </conditionalFormatting>
  <conditionalFormatting sqref="P77">
    <cfRule type="cellIs" dxfId="497" priority="2819" stopIfTrue="1" operator="equal">
      <formula>"INPUT STARTER IN COLUMN D"</formula>
    </cfRule>
  </conditionalFormatting>
  <conditionalFormatting sqref="P78">
    <cfRule type="cellIs" dxfId="496" priority="2818" stopIfTrue="1" operator="equal">
      <formula>"INPUT STARTER IN COLUMN D"</formula>
    </cfRule>
  </conditionalFormatting>
  <conditionalFormatting sqref="P79">
    <cfRule type="cellIs" dxfId="495" priority="2817" stopIfTrue="1" operator="equal">
      <formula>"INPUT STARTER IN COLUMN D"</formula>
    </cfRule>
  </conditionalFormatting>
  <conditionalFormatting sqref="P80">
    <cfRule type="cellIs" dxfId="494" priority="2816" stopIfTrue="1" operator="equal">
      <formula>"INPUT STARTER IN COLUMN D"</formula>
    </cfRule>
  </conditionalFormatting>
  <conditionalFormatting sqref="P81">
    <cfRule type="cellIs" dxfId="493" priority="2815" stopIfTrue="1" operator="equal">
      <formula>"INPUT STARTER IN COLUMN D"</formula>
    </cfRule>
  </conditionalFormatting>
  <conditionalFormatting sqref="P82">
    <cfRule type="cellIs" dxfId="492" priority="2814" stopIfTrue="1" operator="equal">
      <formula>"INPUT STARTER IN COLUMN D"</formula>
    </cfRule>
  </conditionalFormatting>
  <conditionalFormatting sqref="P84">
    <cfRule type="cellIs" dxfId="491" priority="2813" stopIfTrue="1" operator="equal">
      <formula>"INPUT STARTER IN COLUMN D"</formula>
    </cfRule>
  </conditionalFormatting>
  <conditionalFormatting sqref="P85">
    <cfRule type="cellIs" dxfId="490" priority="2812" stopIfTrue="1" operator="equal">
      <formula>"INPUT STARTER IN COLUMN D"</formula>
    </cfRule>
  </conditionalFormatting>
  <conditionalFormatting sqref="P86">
    <cfRule type="cellIs" dxfId="489" priority="2811" stopIfTrue="1" operator="equal">
      <formula>"INPUT STARTER IN COLUMN D"</formula>
    </cfRule>
  </conditionalFormatting>
  <conditionalFormatting sqref="P87">
    <cfRule type="cellIs" dxfId="488" priority="2810" stopIfTrue="1" operator="equal">
      <formula>"INPUT STARTER IN COLUMN D"</formula>
    </cfRule>
  </conditionalFormatting>
  <conditionalFormatting sqref="P88">
    <cfRule type="cellIs" dxfId="487" priority="2809" stopIfTrue="1" operator="equal">
      <formula>"INPUT STARTER IN COLUMN D"</formula>
    </cfRule>
  </conditionalFormatting>
  <conditionalFormatting sqref="P89">
    <cfRule type="cellIs" dxfId="486" priority="2808" stopIfTrue="1" operator="equal">
      <formula>"INPUT STARTER IN COLUMN D"</formula>
    </cfRule>
  </conditionalFormatting>
  <conditionalFormatting sqref="P91">
    <cfRule type="cellIs" dxfId="485" priority="2807" stopIfTrue="1" operator="equal">
      <formula>"INPUT STARTER IN COLUMN D"</formula>
    </cfRule>
  </conditionalFormatting>
  <conditionalFormatting sqref="P92">
    <cfRule type="cellIs" dxfId="484" priority="2806" stopIfTrue="1" operator="equal">
      <formula>"INPUT STARTER IN COLUMN D"</formula>
    </cfRule>
  </conditionalFormatting>
  <conditionalFormatting sqref="P93">
    <cfRule type="cellIs" dxfId="483" priority="2805" stopIfTrue="1" operator="equal">
      <formula>"INPUT STARTER IN COLUMN D"</formula>
    </cfRule>
  </conditionalFormatting>
  <conditionalFormatting sqref="P94">
    <cfRule type="cellIs" dxfId="482" priority="2804" stopIfTrue="1" operator="equal">
      <formula>"INPUT STARTER IN COLUMN D"</formula>
    </cfRule>
  </conditionalFormatting>
  <conditionalFormatting sqref="P95">
    <cfRule type="cellIs" dxfId="481" priority="2803" stopIfTrue="1" operator="equal">
      <formula>"INPUT STARTER IN COLUMN D"</formula>
    </cfRule>
  </conditionalFormatting>
  <conditionalFormatting sqref="P96">
    <cfRule type="cellIs" dxfId="480" priority="2802" stopIfTrue="1" operator="equal">
      <formula>"INPUT STARTER IN COLUMN D"</formula>
    </cfRule>
  </conditionalFormatting>
  <conditionalFormatting sqref="P97">
    <cfRule type="cellIs" dxfId="479" priority="2801" stopIfTrue="1" operator="equal">
      <formula>"INPUT STARTER IN COLUMN D"</formula>
    </cfRule>
  </conditionalFormatting>
  <conditionalFormatting sqref="P98">
    <cfRule type="cellIs" dxfId="478" priority="2800" stopIfTrue="1" operator="equal">
      <formula>"INPUT STARTER IN COLUMN D"</formula>
    </cfRule>
  </conditionalFormatting>
  <conditionalFormatting sqref="P99">
    <cfRule type="cellIs" dxfId="477" priority="2799" stopIfTrue="1" operator="equal">
      <formula>"INPUT STARTER IN COLUMN D"</formula>
    </cfRule>
  </conditionalFormatting>
  <conditionalFormatting sqref="P100">
    <cfRule type="cellIs" dxfId="476" priority="2798" stopIfTrue="1" operator="equal">
      <formula>"INPUT STARTER IN COLUMN D"</formula>
    </cfRule>
  </conditionalFormatting>
  <conditionalFormatting sqref="P101">
    <cfRule type="cellIs" dxfId="475" priority="2797" stopIfTrue="1" operator="equal">
      <formula>"INPUT STARTER IN COLUMN D"</formula>
    </cfRule>
  </conditionalFormatting>
  <conditionalFormatting sqref="P102">
    <cfRule type="cellIs" dxfId="474" priority="2796" stopIfTrue="1" operator="equal">
      <formula>"INPUT STARTER IN COLUMN D"</formula>
    </cfRule>
  </conditionalFormatting>
  <conditionalFormatting sqref="P106">
    <cfRule type="cellIs" dxfId="473" priority="2795" stopIfTrue="1" operator="equal">
      <formula>"INPUT STARTER IN COLUMN D"</formula>
    </cfRule>
  </conditionalFormatting>
  <conditionalFormatting sqref="P107">
    <cfRule type="cellIs" dxfId="472" priority="2794" stopIfTrue="1" operator="equal">
      <formula>"INPUT STARTER IN COLUMN D"</formula>
    </cfRule>
  </conditionalFormatting>
  <conditionalFormatting sqref="P108">
    <cfRule type="cellIs" dxfId="471" priority="2793" stopIfTrue="1" operator="equal">
      <formula>"INPUT STARTER IN COLUMN D"</formula>
    </cfRule>
  </conditionalFormatting>
  <conditionalFormatting sqref="P109">
    <cfRule type="cellIs" dxfId="470" priority="2792" stopIfTrue="1" operator="equal">
      <formula>"INPUT STARTER IN COLUMN D"</formula>
    </cfRule>
  </conditionalFormatting>
  <conditionalFormatting sqref="P110">
    <cfRule type="cellIs" dxfId="469" priority="2791" stopIfTrue="1" operator="equal">
      <formula>"INPUT STARTER IN COLUMN D"</formula>
    </cfRule>
  </conditionalFormatting>
  <conditionalFormatting sqref="P111">
    <cfRule type="cellIs" dxfId="468" priority="2790" stopIfTrue="1" operator="equal">
      <formula>"INPUT STARTER IN COLUMN D"</formula>
    </cfRule>
  </conditionalFormatting>
  <conditionalFormatting sqref="P112">
    <cfRule type="cellIs" dxfId="467" priority="2789" stopIfTrue="1" operator="equal">
      <formula>"INPUT STARTER IN COLUMN D"</formula>
    </cfRule>
  </conditionalFormatting>
  <conditionalFormatting sqref="P113">
    <cfRule type="cellIs" dxfId="466" priority="2788" stopIfTrue="1" operator="equal">
      <formula>"INPUT STARTER IN COLUMN D"</formula>
    </cfRule>
  </conditionalFormatting>
  <conditionalFormatting sqref="P114">
    <cfRule type="cellIs" dxfId="465" priority="2787" stopIfTrue="1" operator="equal">
      <formula>"INPUT STARTER IN COLUMN D"</formula>
    </cfRule>
  </conditionalFormatting>
  <conditionalFormatting sqref="P115">
    <cfRule type="cellIs" dxfId="464" priority="2786" stopIfTrue="1" operator="equal">
      <formula>"INPUT STARTER IN COLUMN D"</formula>
    </cfRule>
  </conditionalFormatting>
  <conditionalFormatting sqref="P116">
    <cfRule type="cellIs" dxfId="463" priority="2785" stopIfTrue="1" operator="equal">
      <formula>"INPUT STARTER IN COLUMN D"</formula>
    </cfRule>
  </conditionalFormatting>
  <conditionalFormatting sqref="P117">
    <cfRule type="cellIs" dxfId="462" priority="2784" stopIfTrue="1" operator="equal">
      <formula>"INPUT STARTER IN COLUMN D"</formula>
    </cfRule>
  </conditionalFormatting>
  <conditionalFormatting sqref="P118">
    <cfRule type="cellIs" dxfId="461" priority="2783" stopIfTrue="1" operator="equal">
      <formula>"INPUT STARTER IN COLUMN D"</formula>
    </cfRule>
  </conditionalFormatting>
  <conditionalFormatting sqref="P119">
    <cfRule type="cellIs" dxfId="460" priority="2782" stopIfTrue="1" operator="equal">
      <formula>"INPUT STARTER IN COLUMN D"</formula>
    </cfRule>
  </conditionalFormatting>
  <conditionalFormatting sqref="P120">
    <cfRule type="cellIs" dxfId="459" priority="2781" stopIfTrue="1" operator="equal">
      <formula>"INPUT STARTER IN COLUMN D"</formula>
    </cfRule>
  </conditionalFormatting>
  <conditionalFormatting sqref="P121">
    <cfRule type="cellIs" dxfId="458" priority="2780" stopIfTrue="1" operator="equal">
      <formula>"INPUT STARTER IN COLUMN D"</formula>
    </cfRule>
  </conditionalFormatting>
  <conditionalFormatting sqref="P122">
    <cfRule type="cellIs" dxfId="457" priority="2779" stopIfTrue="1" operator="equal">
      <formula>"INPUT STARTER IN COLUMN D"</formula>
    </cfRule>
  </conditionalFormatting>
  <conditionalFormatting sqref="P123">
    <cfRule type="cellIs" dxfId="456" priority="2778" stopIfTrue="1" operator="equal">
      <formula>"INPUT STARTER IN COLUMN D"</formula>
    </cfRule>
  </conditionalFormatting>
  <conditionalFormatting sqref="P125">
    <cfRule type="cellIs" dxfId="455" priority="2777" stopIfTrue="1" operator="equal">
      <formula>"INPUT STARTER IN COLUMN D"</formula>
    </cfRule>
  </conditionalFormatting>
  <conditionalFormatting sqref="P126">
    <cfRule type="cellIs" dxfId="454" priority="2776" stopIfTrue="1" operator="equal">
      <formula>"INPUT STARTER IN COLUMN D"</formula>
    </cfRule>
  </conditionalFormatting>
  <conditionalFormatting sqref="P127">
    <cfRule type="cellIs" dxfId="453" priority="2775" stopIfTrue="1" operator="equal">
      <formula>"INPUT STARTER IN COLUMN D"</formula>
    </cfRule>
  </conditionalFormatting>
  <conditionalFormatting sqref="P128">
    <cfRule type="cellIs" dxfId="452" priority="2774" stopIfTrue="1" operator="equal">
      <formula>"INPUT STARTER IN COLUMN D"</formula>
    </cfRule>
  </conditionalFormatting>
  <conditionalFormatting sqref="P129">
    <cfRule type="cellIs" dxfId="451" priority="2773" stopIfTrue="1" operator="equal">
      <formula>"INPUT STARTER IN COLUMN D"</formula>
    </cfRule>
  </conditionalFormatting>
  <conditionalFormatting sqref="P130">
    <cfRule type="cellIs" dxfId="450" priority="2772" stopIfTrue="1" operator="equal">
      <formula>"INPUT STARTER IN COLUMN D"</formula>
    </cfRule>
  </conditionalFormatting>
  <conditionalFormatting sqref="P131">
    <cfRule type="cellIs" dxfId="449" priority="2771" stopIfTrue="1" operator="equal">
      <formula>"INPUT STARTER IN COLUMN D"</formula>
    </cfRule>
  </conditionalFormatting>
  <conditionalFormatting sqref="P132">
    <cfRule type="cellIs" dxfId="448" priority="2770" stopIfTrue="1" operator="equal">
      <formula>"INPUT STARTER IN COLUMN D"</formula>
    </cfRule>
  </conditionalFormatting>
  <conditionalFormatting sqref="P133">
    <cfRule type="cellIs" dxfId="447" priority="2769" stopIfTrue="1" operator="equal">
      <formula>"INPUT STARTER IN COLUMN D"</formula>
    </cfRule>
  </conditionalFormatting>
  <conditionalFormatting sqref="P134">
    <cfRule type="cellIs" dxfId="446" priority="2768" stopIfTrue="1" operator="equal">
      <formula>"INPUT STARTER IN COLUMN D"</formula>
    </cfRule>
  </conditionalFormatting>
  <conditionalFormatting sqref="P135">
    <cfRule type="cellIs" dxfId="445" priority="2767" stopIfTrue="1" operator="equal">
      <formula>"INPUT STARTER IN COLUMN D"</formula>
    </cfRule>
  </conditionalFormatting>
  <conditionalFormatting sqref="P136">
    <cfRule type="cellIs" dxfId="444" priority="2766" stopIfTrue="1" operator="equal">
      <formula>"INPUT STARTER IN COLUMN D"</formula>
    </cfRule>
  </conditionalFormatting>
  <conditionalFormatting sqref="P137">
    <cfRule type="cellIs" dxfId="443" priority="2765" stopIfTrue="1" operator="equal">
      <formula>"INPUT STARTER IN COLUMN D"</formula>
    </cfRule>
  </conditionalFormatting>
  <conditionalFormatting sqref="P139">
    <cfRule type="cellIs" dxfId="442" priority="2764" stopIfTrue="1" operator="equal">
      <formula>"INPUT STARTER IN COLUMN D"</formula>
    </cfRule>
  </conditionalFormatting>
  <conditionalFormatting sqref="P140">
    <cfRule type="cellIs" dxfId="441" priority="2763" stopIfTrue="1" operator="equal">
      <formula>"INPUT STARTER IN COLUMN D"</formula>
    </cfRule>
  </conditionalFormatting>
  <conditionalFormatting sqref="P141">
    <cfRule type="cellIs" dxfId="440" priority="2762" stopIfTrue="1" operator="equal">
      <formula>"INPUT STARTER IN COLUMN D"</formula>
    </cfRule>
  </conditionalFormatting>
  <conditionalFormatting sqref="P142">
    <cfRule type="cellIs" dxfId="439" priority="2761" stopIfTrue="1" operator="equal">
      <formula>"INPUT STARTER IN COLUMN D"</formula>
    </cfRule>
  </conditionalFormatting>
  <conditionalFormatting sqref="P143">
    <cfRule type="cellIs" dxfId="438" priority="2760" stopIfTrue="1" operator="equal">
      <formula>"INPUT STARTER IN COLUMN D"</formula>
    </cfRule>
  </conditionalFormatting>
  <conditionalFormatting sqref="P144">
    <cfRule type="cellIs" dxfId="437" priority="2759" stopIfTrue="1" operator="equal">
      <formula>"INPUT STARTER IN COLUMN D"</formula>
    </cfRule>
  </conditionalFormatting>
  <conditionalFormatting sqref="P145">
    <cfRule type="cellIs" dxfId="436" priority="2758" stopIfTrue="1" operator="equal">
      <formula>"INPUT STARTER IN COLUMN D"</formula>
    </cfRule>
  </conditionalFormatting>
  <conditionalFormatting sqref="P146">
    <cfRule type="cellIs" dxfId="435" priority="2757" stopIfTrue="1" operator="equal">
      <formula>"INPUT STARTER IN COLUMN D"</formula>
    </cfRule>
  </conditionalFormatting>
  <conditionalFormatting sqref="P147">
    <cfRule type="cellIs" dxfId="434" priority="2756" stopIfTrue="1" operator="equal">
      <formula>"INPUT STARTER IN COLUMN D"</formula>
    </cfRule>
  </conditionalFormatting>
  <conditionalFormatting sqref="P148">
    <cfRule type="cellIs" dxfId="433" priority="2755" stopIfTrue="1" operator="equal">
      <formula>"INPUT STARTER IN COLUMN D"</formula>
    </cfRule>
  </conditionalFormatting>
  <conditionalFormatting sqref="P149">
    <cfRule type="cellIs" dxfId="432" priority="2754" stopIfTrue="1" operator="equal">
      <formula>"INPUT STARTER IN COLUMN D"</formula>
    </cfRule>
  </conditionalFormatting>
  <conditionalFormatting sqref="P150">
    <cfRule type="cellIs" dxfId="431" priority="2753" stopIfTrue="1" operator="equal">
      <formula>"INPUT STARTER IN COLUMN D"</formula>
    </cfRule>
  </conditionalFormatting>
  <conditionalFormatting sqref="P151">
    <cfRule type="cellIs" dxfId="430" priority="2752" stopIfTrue="1" operator="equal">
      <formula>"INPUT STARTER IN COLUMN D"</formula>
    </cfRule>
  </conditionalFormatting>
  <conditionalFormatting sqref="P152">
    <cfRule type="cellIs" dxfId="429" priority="2751" stopIfTrue="1" operator="equal">
      <formula>"INPUT STARTER IN COLUMN D"</formula>
    </cfRule>
  </conditionalFormatting>
  <conditionalFormatting sqref="P153">
    <cfRule type="cellIs" dxfId="428" priority="2750" stopIfTrue="1" operator="equal">
      <formula>"INPUT STARTER IN COLUMN D"</formula>
    </cfRule>
  </conditionalFormatting>
  <conditionalFormatting sqref="P154">
    <cfRule type="cellIs" dxfId="427" priority="2749" stopIfTrue="1" operator="equal">
      <formula>"INPUT STARTER IN COLUMN D"</formula>
    </cfRule>
  </conditionalFormatting>
  <conditionalFormatting sqref="P155">
    <cfRule type="cellIs" dxfId="426" priority="2748" stopIfTrue="1" operator="equal">
      <formula>"INPUT STARTER IN COLUMN D"</formula>
    </cfRule>
  </conditionalFormatting>
  <conditionalFormatting sqref="P157">
    <cfRule type="cellIs" dxfId="425" priority="2747" stopIfTrue="1" operator="equal">
      <formula>"INPUT STARTER IN COLUMN D"</formula>
    </cfRule>
  </conditionalFormatting>
  <conditionalFormatting sqref="P158">
    <cfRule type="cellIs" dxfId="424" priority="2746" stopIfTrue="1" operator="equal">
      <formula>"INPUT STARTER IN COLUMN D"</formula>
    </cfRule>
  </conditionalFormatting>
  <conditionalFormatting sqref="P159">
    <cfRule type="cellIs" dxfId="423" priority="2745" stopIfTrue="1" operator="equal">
      <formula>"INPUT STARTER IN COLUMN D"</formula>
    </cfRule>
  </conditionalFormatting>
  <conditionalFormatting sqref="P160">
    <cfRule type="cellIs" dxfId="422" priority="2744" stopIfTrue="1" operator="equal">
      <formula>"INPUT STARTER IN COLUMN D"</formula>
    </cfRule>
  </conditionalFormatting>
  <conditionalFormatting sqref="P161">
    <cfRule type="cellIs" dxfId="421" priority="2743" stopIfTrue="1" operator="equal">
      <formula>"INPUT STARTER IN COLUMN D"</formula>
    </cfRule>
  </conditionalFormatting>
  <conditionalFormatting sqref="P162">
    <cfRule type="cellIs" dxfId="420" priority="2742" stopIfTrue="1" operator="equal">
      <formula>"INPUT STARTER IN COLUMN D"</formula>
    </cfRule>
  </conditionalFormatting>
  <conditionalFormatting sqref="P163">
    <cfRule type="cellIs" dxfId="419" priority="2741" stopIfTrue="1" operator="equal">
      <formula>"INPUT STARTER IN COLUMN D"</formula>
    </cfRule>
  </conditionalFormatting>
  <conditionalFormatting sqref="P165">
    <cfRule type="cellIs" dxfId="418" priority="2740" stopIfTrue="1" operator="equal">
      <formula>"INPUT STARTER IN COLUMN D"</formula>
    </cfRule>
  </conditionalFormatting>
  <conditionalFormatting sqref="P166">
    <cfRule type="cellIs" dxfId="417" priority="2739" stopIfTrue="1" operator="equal">
      <formula>"INPUT STARTER IN COLUMN D"</formula>
    </cfRule>
  </conditionalFormatting>
  <conditionalFormatting sqref="P167">
    <cfRule type="cellIs" dxfId="416" priority="2738" stopIfTrue="1" operator="equal">
      <formula>"INPUT STARTER IN COLUMN D"</formula>
    </cfRule>
  </conditionalFormatting>
  <conditionalFormatting sqref="P168">
    <cfRule type="cellIs" dxfId="415" priority="2737" stopIfTrue="1" operator="equal">
      <formula>"INPUT STARTER IN COLUMN D"</formula>
    </cfRule>
  </conditionalFormatting>
  <conditionalFormatting sqref="P169">
    <cfRule type="cellIs" dxfId="414" priority="2736" stopIfTrue="1" operator="equal">
      <formula>"INPUT STARTER IN COLUMN D"</formula>
    </cfRule>
  </conditionalFormatting>
  <conditionalFormatting sqref="P170">
    <cfRule type="cellIs" dxfId="413" priority="2735" stopIfTrue="1" operator="equal">
      <formula>"INPUT STARTER IN COLUMN D"</formula>
    </cfRule>
  </conditionalFormatting>
  <conditionalFormatting sqref="P171">
    <cfRule type="cellIs" dxfId="412" priority="2734" stopIfTrue="1" operator="equal">
      <formula>"INPUT STARTER IN COLUMN D"</formula>
    </cfRule>
  </conditionalFormatting>
  <conditionalFormatting sqref="P172">
    <cfRule type="cellIs" dxfId="411" priority="2733" stopIfTrue="1" operator="equal">
      <formula>"INPUT STARTER IN COLUMN D"</formula>
    </cfRule>
  </conditionalFormatting>
  <conditionalFormatting sqref="P173">
    <cfRule type="cellIs" dxfId="410" priority="2732" stopIfTrue="1" operator="equal">
      <formula>"INPUT STARTER IN COLUMN D"</formula>
    </cfRule>
  </conditionalFormatting>
  <conditionalFormatting sqref="P174">
    <cfRule type="cellIs" dxfId="409" priority="2731" stopIfTrue="1" operator="equal">
      <formula>"INPUT STARTER IN COLUMN D"</formula>
    </cfRule>
  </conditionalFormatting>
  <conditionalFormatting sqref="P176">
    <cfRule type="cellIs" dxfId="408" priority="2730" stopIfTrue="1" operator="equal">
      <formula>"INPUT STARTER IN COLUMN D"</formula>
    </cfRule>
  </conditionalFormatting>
  <conditionalFormatting sqref="P177">
    <cfRule type="cellIs" dxfId="407" priority="2729" stopIfTrue="1" operator="equal">
      <formula>"INPUT STARTER IN COLUMN D"</formula>
    </cfRule>
  </conditionalFormatting>
  <conditionalFormatting sqref="P178">
    <cfRule type="cellIs" dxfId="406" priority="2728" stopIfTrue="1" operator="equal">
      <formula>"INPUT STARTER IN COLUMN D"</formula>
    </cfRule>
  </conditionalFormatting>
  <conditionalFormatting sqref="P179">
    <cfRule type="cellIs" dxfId="405" priority="2727" stopIfTrue="1" operator="equal">
      <formula>"INPUT STARTER IN COLUMN D"</formula>
    </cfRule>
  </conditionalFormatting>
  <conditionalFormatting sqref="P180">
    <cfRule type="cellIs" dxfId="404" priority="2726" stopIfTrue="1" operator="equal">
      <formula>"INPUT STARTER IN COLUMN D"</formula>
    </cfRule>
  </conditionalFormatting>
  <conditionalFormatting sqref="P181">
    <cfRule type="cellIs" dxfId="403" priority="2725" stopIfTrue="1" operator="equal">
      <formula>"INPUT STARTER IN COLUMN D"</formula>
    </cfRule>
  </conditionalFormatting>
  <conditionalFormatting sqref="P182">
    <cfRule type="cellIs" dxfId="402" priority="2724" stopIfTrue="1" operator="equal">
      <formula>"INPUT STARTER IN COLUMN D"</formula>
    </cfRule>
  </conditionalFormatting>
  <conditionalFormatting sqref="P183">
    <cfRule type="cellIs" dxfId="401" priority="2723" stopIfTrue="1" operator="equal">
      <formula>"INPUT STARTER IN COLUMN D"</formula>
    </cfRule>
  </conditionalFormatting>
  <conditionalFormatting sqref="P184">
    <cfRule type="cellIs" dxfId="400" priority="2722" stopIfTrue="1" operator="equal">
      <formula>"INPUT STARTER IN COLUMN D"</formula>
    </cfRule>
  </conditionalFormatting>
  <conditionalFormatting sqref="P185">
    <cfRule type="cellIs" dxfId="399" priority="2721" stopIfTrue="1" operator="equal">
      <formula>"INPUT STARTER IN COLUMN D"</formula>
    </cfRule>
  </conditionalFormatting>
  <conditionalFormatting sqref="AK3:AK22">
    <cfRule type="cellIs" dxfId="398" priority="2720" stopIfTrue="1" operator="equal">
      <formula>"must average at least 5 innings per start"</formula>
    </cfRule>
  </conditionalFormatting>
  <conditionalFormatting sqref="AK23">
    <cfRule type="cellIs" dxfId="397" priority="2719" stopIfTrue="1" operator="equal">
      <formula>"must have 162 starts"</formula>
    </cfRule>
  </conditionalFormatting>
  <conditionalFormatting sqref="AK3:AK22">
    <cfRule type="cellIs" dxfId="396" priority="2718" stopIfTrue="1" operator="equal">
      <formula>"must average at least 5 innings per start"</formula>
    </cfRule>
  </conditionalFormatting>
  <conditionalFormatting sqref="AK23">
    <cfRule type="cellIs" dxfId="395" priority="2717" stopIfTrue="1" operator="equal">
      <formula>"must have 162 starts"</formula>
    </cfRule>
  </conditionalFormatting>
  <conditionalFormatting sqref="AK3:AK22">
    <cfRule type="cellIs" dxfId="394" priority="2716" stopIfTrue="1" operator="equal">
      <formula>"must average at least 5 innings per start"</formula>
    </cfRule>
  </conditionalFormatting>
  <conditionalFormatting sqref="AK23">
    <cfRule type="cellIs" dxfId="393" priority="2715" stopIfTrue="1" operator="equal">
      <formula>"must have 162 starts"</formula>
    </cfRule>
  </conditionalFormatting>
  <conditionalFormatting sqref="AK3:AK22">
    <cfRule type="cellIs" dxfId="392" priority="2714" stopIfTrue="1" operator="equal">
      <formula>"must average at least 5 innings per start"</formula>
    </cfRule>
  </conditionalFormatting>
  <conditionalFormatting sqref="AK23">
    <cfRule type="cellIs" dxfId="391" priority="2713" stopIfTrue="1" operator="equal">
      <formula>"must have 162 starts"</formula>
    </cfRule>
  </conditionalFormatting>
  <conditionalFormatting sqref="AK3:AK22">
    <cfRule type="cellIs" dxfId="390" priority="2712" stopIfTrue="1" operator="equal">
      <formula>"must average at least 5 innings per start"</formula>
    </cfRule>
  </conditionalFormatting>
  <conditionalFormatting sqref="AK23">
    <cfRule type="cellIs" dxfId="389" priority="2711" stopIfTrue="1" operator="equal">
      <formula>"must have 162 starts"</formula>
    </cfRule>
  </conditionalFormatting>
  <conditionalFormatting sqref="AK3:AK22">
    <cfRule type="cellIs" dxfId="388" priority="2710" stopIfTrue="1" operator="equal">
      <formula>"must average at least 5 innings per start"</formula>
    </cfRule>
  </conditionalFormatting>
  <conditionalFormatting sqref="AK23">
    <cfRule type="cellIs" dxfId="387" priority="2709" stopIfTrue="1" operator="equal">
      <formula>"must have 162 starts"</formula>
    </cfRule>
  </conditionalFormatting>
  <conditionalFormatting sqref="AK3:AK22">
    <cfRule type="cellIs" dxfId="386" priority="2708" stopIfTrue="1" operator="equal">
      <formula>"must average at least 5 innings per start"</formula>
    </cfRule>
  </conditionalFormatting>
  <conditionalFormatting sqref="AK23">
    <cfRule type="cellIs" dxfId="385" priority="2707" stopIfTrue="1" operator="equal">
      <formula>"must have 162 starts"</formula>
    </cfRule>
  </conditionalFormatting>
  <conditionalFormatting sqref="AK3:AK22">
    <cfRule type="cellIs" dxfId="384" priority="2706" stopIfTrue="1" operator="equal">
      <formula>"must average at least 5 innings per start"</formula>
    </cfRule>
  </conditionalFormatting>
  <conditionalFormatting sqref="AK23">
    <cfRule type="cellIs" dxfId="383" priority="2705" stopIfTrue="1" operator="equal">
      <formula>"must have 162 starts"</formula>
    </cfRule>
  </conditionalFormatting>
  <conditionalFormatting sqref="AG3:AG22">
    <cfRule type="cellIs" dxfId="382" priority="2704" stopIfTrue="1" operator="equal">
      <formula>"must average at least 5 innings per start"</formula>
    </cfRule>
  </conditionalFormatting>
  <conditionalFormatting sqref="AG23">
    <cfRule type="cellIs" dxfId="381" priority="2703" stopIfTrue="1" operator="equal">
      <formula>"must have 162 starts"</formula>
    </cfRule>
  </conditionalFormatting>
  <conditionalFormatting sqref="AK3:AK22">
    <cfRule type="cellIs" dxfId="380" priority="2702" stopIfTrue="1" operator="equal">
      <formula>"must average at least 5 innings per start"</formula>
    </cfRule>
  </conditionalFormatting>
  <conditionalFormatting sqref="AK23">
    <cfRule type="cellIs" dxfId="379" priority="2701" stopIfTrue="1" operator="equal">
      <formula>"must have 162 starts"</formula>
    </cfRule>
  </conditionalFormatting>
  <conditionalFormatting sqref="AK3:AK22">
    <cfRule type="cellIs" dxfId="378" priority="2700" stopIfTrue="1" operator="equal">
      <formula>"must average at least 5 innings per start"</formula>
    </cfRule>
  </conditionalFormatting>
  <conditionalFormatting sqref="AK23">
    <cfRule type="cellIs" dxfId="377" priority="2699" stopIfTrue="1" operator="equal">
      <formula>"must have 162 starts"</formula>
    </cfRule>
  </conditionalFormatting>
  <conditionalFormatting sqref="AK3:AK22">
    <cfRule type="cellIs" dxfId="376" priority="2698" stopIfTrue="1" operator="equal">
      <formula>"must average at least 5 innings per start"</formula>
    </cfRule>
  </conditionalFormatting>
  <conditionalFormatting sqref="AK23">
    <cfRule type="cellIs" dxfId="375" priority="2697" stopIfTrue="1" operator="equal">
      <formula>"must have 162 starts"</formula>
    </cfRule>
  </conditionalFormatting>
  <conditionalFormatting sqref="AK3:AK22">
    <cfRule type="cellIs" dxfId="374" priority="2696" stopIfTrue="1" operator="equal">
      <formula>"must average at least 5 innings per start"</formula>
    </cfRule>
  </conditionalFormatting>
  <conditionalFormatting sqref="AK23">
    <cfRule type="cellIs" dxfId="373" priority="2695" stopIfTrue="1" operator="equal">
      <formula>"must have 162 starts"</formula>
    </cfRule>
  </conditionalFormatting>
  <conditionalFormatting sqref="AK3:AK22">
    <cfRule type="cellIs" dxfId="372" priority="2694" stopIfTrue="1" operator="equal">
      <formula>"must average at least 5 innings per start"</formula>
    </cfRule>
  </conditionalFormatting>
  <conditionalFormatting sqref="AK23">
    <cfRule type="cellIs" dxfId="371" priority="2693" stopIfTrue="1" operator="equal">
      <formula>"must have 162 starts"</formula>
    </cfRule>
  </conditionalFormatting>
  <conditionalFormatting sqref="AK3:AK22">
    <cfRule type="cellIs" dxfId="370" priority="2692" stopIfTrue="1" operator="equal">
      <formula>"must average at least 5 innings per start"</formula>
    </cfRule>
  </conditionalFormatting>
  <conditionalFormatting sqref="AK23">
    <cfRule type="cellIs" dxfId="369" priority="2691" stopIfTrue="1" operator="equal">
      <formula>"must have 162 starts"</formula>
    </cfRule>
  </conditionalFormatting>
  <conditionalFormatting sqref="AK3:AK22">
    <cfRule type="cellIs" dxfId="368" priority="2690" stopIfTrue="1" operator="equal">
      <formula>"must average at least 5 innings per start"</formula>
    </cfRule>
  </conditionalFormatting>
  <conditionalFormatting sqref="AK23">
    <cfRule type="cellIs" dxfId="367" priority="2689" stopIfTrue="1" operator="equal">
      <formula>"must have 162 starts"</formula>
    </cfRule>
  </conditionalFormatting>
  <conditionalFormatting sqref="AG3:AG22">
    <cfRule type="cellIs" dxfId="366" priority="2688" stopIfTrue="1" operator="equal">
      <formula>"must average at least 5 innings per start"</formula>
    </cfRule>
  </conditionalFormatting>
  <conditionalFormatting sqref="AG23">
    <cfRule type="cellIs" dxfId="365" priority="2687" stopIfTrue="1" operator="equal">
      <formula>"must have 162 starts"</formula>
    </cfRule>
  </conditionalFormatting>
  <conditionalFormatting sqref="AK3:AK22">
    <cfRule type="cellIs" dxfId="364" priority="2686" stopIfTrue="1" operator="equal">
      <formula>"must average at least 5 innings per start"</formula>
    </cfRule>
  </conditionalFormatting>
  <conditionalFormatting sqref="AK23">
    <cfRule type="cellIs" dxfId="363" priority="2685" stopIfTrue="1" operator="equal">
      <formula>"must have 162 starts"</formula>
    </cfRule>
  </conditionalFormatting>
  <conditionalFormatting sqref="AK3:AK22">
    <cfRule type="cellIs" dxfId="362" priority="2684" stopIfTrue="1" operator="equal">
      <formula>"must average at least 5 innings per start"</formula>
    </cfRule>
  </conditionalFormatting>
  <conditionalFormatting sqref="AK23">
    <cfRule type="cellIs" dxfId="361" priority="2683" stopIfTrue="1" operator="equal">
      <formula>"must have 162 starts"</formula>
    </cfRule>
  </conditionalFormatting>
  <conditionalFormatting sqref="AK3:AK22">
    <cfRule type="cellIs" dxfId="360" priority="2682" stopIfTrue="1" operator="equal">
      <formula>"must average at least 5 innings per start"</formula>
    </cfRule>
  </conditionalFormatting>
  <conditionalFormatting sqref="AK23">
    <cfRule type="cellIs" dxfId="359" priority="2681" stopIfTrue="1" operator="equal">
      <formula>"must have 162 starts"</formula>
    </cfRule>
  </conditionalFormatting>
  <conditionalFormatting sqref="AK3:AK22">
    <cfRule type="cellIs" dxfId="358" priority="2680" stopIfTrue="1" operator="equal">
      <formula>"must average at least 5 innings per start"</formula>
    </cfRule>
  </conditionalFormatting>
  <conditionalFormatting sqref="AK23">
    <cfRule type="cellIs" dxfId="357" priority="2679" stopIfTrue="1" operator="equal">
      <formula>"must have 162 starts"</formula>
    </cfRule>
  </conditionalFormatting>
  <conditionalFormatting sqref="AK3:AK22">
    <cfRule type="cellIs" dxfId="356" priority="2678" stopIfTrue="1" operator="equal">
      <formula>"must average at least 5 innings per start"</formula>
    </cfRule>
  </conditionalFormatting>
  <conditionalFormatting sqref="AK23">
    <cfRule type="cellIs" dxfId="355" priority="2677" stopIfTrue="1" operator="equal">
      <formula>"must have 162 starts"</formula>
    </cfRule>
  </conditionalFormatting>
  <conditionalFormatting sqref="AK3:AK22">
    <cfRule type="cellIs" dxfId="354" priority="2676" stopIfTrue="1" operator="equal">
      <formula>"must average at least 5 innings per start"</formula>
    </cfRule>
  </conditionalFormatting>
  <conditionalFormatting sqref="AK23">
    <cfRule type="cellIs" dxfId="353" priority="2675" stopIfTrue="1" operator="equal">
      <formula>"must have 162 starts"</formula>
    </cfRule>
  </conditionalFormatting>
  <conditionalFormatting sqref="AG3:AG22">
    <cfRule type="cellIs" dxfId="352" priority="2674" stopIfTrue="1" operator="equal">
      <formula>"must average at least 5 innings per start"</formula>
    </cfRule>
  </conditionalFormatting>
  <conditionalFormatting sqref="AG23">
    <cfRule type="cellIs" dxfId="351" priority="2673" stopIfTrue="1" operator="equal">
      <formula>"must have 162 starts"</formula>
    </cfRule>
  </conditionalFormatting>
  <conditionalFormatting sqref="AK3:AK22">
    <cfRule type="cellIs" dxfId="350" priority="2672" stopIfTrue="1" operator="equal">
      <formula>"must average at least 5 innings per start"</formula>
    </cfRule>
  </conditionalFormatting>
  <conditionalFormatting sqref="AK23">
    <cfRule type="cellIs" dxfId="349" priority="2671" stopIfTrue="1" operator="equal">
      <formula>"must have 162 starts"</formula>
    </cfRule>
  </conditionalFormatting>
  <conditionalFormatting sqref="AK3:AK22">
    <cfRule type="cellIs" dxfId="348" priority="2670" stopIfTrue="1" operator="equal">
      <formula>"must average at least 5 innings per start"</formula>
    </cfRule>
  </conditionalFormatting>
  <conditionalFormatting sqref="AK23">
    <cfRule type="cellIs" dxfId="347" priority="2669" stopIfTrue="1" operator="equal">
      <formula>"must have 162 starts"</formula>
    </cfRule>
  </conditionalFormatting>
  <conditionalFormatting sqref="AK3:AK22">
    <cfRule type="cellIs" dxfId="346" priority="2668" stopIfTrue="1" operator="equal">
      <formula>"must average at least 5 innings per start"</formula>
    </cfRule>
  </conditionalFormatting>
  <conditionalFormatting sqref="AK23">
    <cfRule type="cellIs" dxfId="345" priority="2667" stopIfTrue="1" operator="equal">
      <formula>"must have 162 starts"</formula>
    </cfRule>
  </conditionalFormatting>
  <conditionalFormatting sqref="AK3:AK22">
    <cfRule type="cellIs" dxfId="344" priority="2666" stopIfTrue="1" operator="equal">
      <formula>"must average at least 5 innings per start"</formula>
    </cfRule>
  </conditionalFormatting>
  <conditionalFormatting sqref="AK23">
    <cfRule type="cellIs" dxfId="343" priority="2665" stopIfTrue="1" operator="equal">
      <formula>"must have 162 starts"</formula>
    </cfRule>
  </conditionalFormatting>
  <conditionalFormatting sqref="AK3:AK22">
    <cfRule type="cellIs" dxfId="342" priority="2664" stopIfTrue="1" operator="equal">
      <formula>"must average at least 5 innings per start"</formula>
    </cfRule>
  </conditionalFormatting>
  <conditionalFormatting sqref="AK23">
    <cfRule type="cellIs" dxfId="341" priority="2663" stopIfTrue="1" operator="equal">
      <formula>"must have 162 starts"</formula>
    </cfRule>
  </conditionalFormatting>
  <conditionalFormatting sqref="AG3:AG22">
    <cfRule type="cellIs" dxfId="340" priority="2662" stopIfTrue="1" operator="equal">
      <formula>"must average at least 5 innings per start"</formula>
    </cfRule>
  </conditionalFormatting>
  <conditionalFormatting sqref="AG23">
    <cfRule type="cellIs" dxfId="339" priority="2661" stopIfTrue="1" operator="equal">
      <formula>"must have 162 starts"</formula>
    </cfRule>
  </conditionalFormatting>
  <conditionalFormatting sqref="AK3:AK22">
    <cfRule type="cellIs" dxfId="338" priority="2660" stopIfTrue="1" operator="equal">
      <formula>"must average at least 5 innings per start"</formula>
    </cfRule>
  </conditionalFormatting>
  <conditionalFormatting sqref="AK23">
    <cfRule type="cellIs" dxfId="337" priority="2659" stopIfTrue="1" operator="equal">
      <formula>"must have 162 starts"</formula>
    </cfRule>
  </conditionalFormatting>
  <conditionalFormatting sqref="AK3:AK22">
    <cfRule type="cellIs" dxfId="336" priority="2658" stopIfTrue="1" operator="equal">
      <formula>"must average at least 5 innings per start"</formula>
    </cfRule>
  </conditionalFormatting>
  <conditionalFormatting sqref="AK23">
    <cfRule type="cellIs" dxfId="335" priority="2657" stopIfTrue="1" operator="equal">
      <formula>"must have 162 starts"</formula>
    </cfRule>
  </conditionalFormatting>
  <conditionalFormatting sqref="AK3:AK22">
    <cfRule type="cellIs" dxfId="334" priority="2656" stopIfTrue="1" operator="equal">
      <formula>"must average at least 5 innings per start"</formula>
    </cfRule>
  </conditionalFormatting>
  <conditionalFormatting sqref="AK23">
    <cfRule type="cellIs" dxfId="333" priority="2655" stopIfTrue="1" operator="equal">
      <formula>"must have 162 starts"</formula>
    </cfRule>
  </conditionalFormatting>
  <conditionalFormatting sqref="AK3:AK22">
    <cfRule type="cellIs" dxfId="332" priority="2654" stopIfTrue="1" operator="equal">
      <formula>"must average at least 5 innings per start"</formula>
    </cfRule>
  </conditionalFormatting>
  <conditionalFormatting sqref="AK23">
    <cfRule type="cellIs" dxfId="331" priority="2653" stopIfTrue="1" operator="equal">
      <formula>"must have 162 starts"</formula>
    </cfRule>
  </conditionalFormatting>
  <conditionalFormatting sqref="AG3:AG22">
    <cfRule type="cellIs" dxfId="330" priority="2652" stopIfTrue="1" operator="equal">
      <formula>"must average at least 5 innings per start"</formula>
    </cfRule>
  </conditionalFormatting>
  <conditionalFormatting sqref="AG23">
    <cfRule type="cellIs" dxfId="329" priority="2651" stopIfTrue="1" operator="equal">
      <formula>"must have 162 starts"</formula>
    </cfRule>
  </conditionalFormatting>
  <conditionalFormatting sqref="AK3:AK22">
    <cfRule type="cellIs" dxfId="328" priority="2650" stopIfTrue="1" operator="equal">
      <formula>"must average at least 5 innings per start"</formula>
    </cfRule>
  </conditionalFormatting>
  <conditionalFormatting sqref="AK23">
    <cfRule type="cellIs" dxfId="327" priority="2649" stopIfTrue="1" operator="equal">
      <formula>"must have 162 starts"</formula>
    </cfRule>
  </conditionalFormatting>
  <conditionalFormatting sqref="AK3:AK22">
    <cfRule type="cellIs" dxfId="326" priority="2648" stopIfTrue="1" operator="equal">
      <formula>"must average at least 5 innings per start"</formula>
    </cfRule>
  </conditionalFormatting>
  <conditionalFormatting sqref="AK23">
    <cfRule type="cellIs" dxfId="325" priority="2647" stopIfTrue="1" operator="equal">
      <formula>"must have 162 starts"</formula>
    </cfRule>
  </conditionalFormatting>
  <conditionalFormatting sqref="AK3:AK22">
    <cfRule type="cellIs" dxfId="324" priority="2646" stopIfTrue="1" operator="equal">
      <formula>"must average at least 5 innings per start"</formula>
    </cfRule>
  </conditionalFormatting>
  <conditionalFormatting sqref="AK23">
    <cfRule type="cellIs" dxfId="323" priority="2645" stopIfTrue="1" operator="equal">
      <formula>"must have 162 starts"</formula>
    </cfRule>
  </conditionalFormatting>
  <conditionalFormatting sqref="AG3:AG22">
    <cfRule type="cellIs" dxfId="322" priority="2644" stopIfTrue="1" operator="equal">
      <formula>"must average at least 5 innings per start"</formula>
    </cfRule>
  </conditionalFormatting>
  <conditionalFormatting sqref="AG23">
    <cfRule type="cellIs" dxfId="321" priority="2643" stopIfTrue="1" operator="equal">
      <formula>"must have 162 starts"</formula>
    </cfRule>
  </conditionalFormatting>
  <conditionalFormatting sqref="AK3:AK22">
    <cfRule type="cellIs" dxfId="320" priority="2642" stopIfTrue="1" operator="equal">
      <formula>"must average at least 5 innings per start"</formula>
    </cfRule>
  </conditionalFormatting>
  <conditionalFormatting sqref="AK23">
    <cfRule type="cellIs" dxfId="319" priority="2641" stopIfTrue="1" operator="equal">
      <formula>"must have 162 starts"</formula>
    </cfRule>
  </conditionalFormatting>
  <conditionalFormatting sqref="AG3:AG22">
    <cfRule type="cellIs" dxfId="318" priority="2640" stopIfTrue="1" operator="equal">
      <formula>"must average at least 5 innings per start"</formula>
    </cfRule>
  </conditionalFormatting>
  <conditionalFormatting sqref="AG23">
    <cfRule type="cellIs" dxfId="317" priority="2639" stopIfTrue="1" operator="equal">
      <formula>"must have 162 starts"</formula>
    </cfRule>
  </conditionalFormatting>
  <conditionalFormatting sqref="Q2">
    <cfRule type="cellIs" dxfId="316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4654" divId="ROTcheck_24654" sourceType="sheet" destinationFile="C:\1kading\schedule\skedcre.html"/>
    <webPublishItem id="20869" divId="ROTcheck_20869" sourceType="range" sourceRef="A1:O193" destinationFile="C:\1kading\schedule\skedcre.html"/>
    <webPublishItem id="14772" divId="ROTcheck_14772" sourceType="range" sourceRef="A156:O185" destinationFile="C:\1kading\schedule\skedcre.html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>
      <selection activeCell="C174" sqref="C174"/>
    </sheetView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6.140625" style="4" customWidth="1"/>
    <col min="5" max="6" width="3.7109375" style="2" customWidth="1"/>
    <col min="7" max="9" width="3.7109375" style="3" customWidth="1"/>
    <col min="10" max="10" width="20.285156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5.7109375" style="5" customWidth="1"/>
    <col min="18" max="18" width="5.140625" style="10" customWidth="1"/>
    <col min="19" max="19" width="22.5703125" style="2" customWidth="1"/>
    <col min="20" max="20" width="10.5703125" style="2" customWidth="1"/>
    <col min="21" max="21" width="3.7109375" style="2" customWidth="1"/>
    <col min="22" max="22" width="4" style="2" customWidth="1"/>
    <col min="23" max="23" width="7.28515625" style="2" customWidth="1"/>
    <col min="24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42578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35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/>
      <c r="C3" s="33" t="s">
        <v>34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1835</v>
      </c>
      <c r="T3" s="44" t="str">
        <f>IF(ISERROR((VLOOKUP(S3,Pitchers!$B$1:H$800,4,FALSE))),"",(VLOOKUP(S3,Pitchers!$B$1:H$800,4,FALSE)))</f>
        <v>BOS</v>
      </c>
      <c r="U3" s="45" t="str">
        <f>IF(ISERROR((VLOOKUP(S3,Pitchers!B$2:AA$795,10,FALSE))),"",(VLOOKUP(S3,Pitchers!B$2:AA$795,10,FALSE)))</f>
        <v>L</v>
      </c>
      <c r="V3" s="41"/>
      <c r="W3" s="46">
        <f>IF(ISERROR((VLOOKUP(S3,Pitchers!B$2:AA$795,13,FALSE))),"",(VLOOKUP(S3,Pitchers!B$2:AA$795,13,FALSE)))</f>
        <v>9</v>
      </c>
      <c r="X3" s="47">
        <f>IF(ISERROR((VLOOKUP(S3,Pitchers!B$2:AA$795,11,FALSE))),"",(VLOOKUP(S3,Pitchers!B$2:AA$795,11,FALSE)))</f>
        <v>122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Y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BCB</v>
      </c>
    </row>
    <row r="4" spans="1:36" ht="12.75">
      <c r="A4" s="6">
        <v>4.0199999999999996</v>
      </c>
      <c r="B4" s="33"/>
      <c r="C4" s="33" t="s">
        <v>34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1266</v>
      </c>
      <c r="T4" s="44" t="str">
        <f>IF(ISERROR((VLOOKUP(S4,Pitchers!$B$1:H$800,4,FALSE))),"",(VLOOKUP(S4,Pitchers!$B$1:H$800,4,FALSE)))</f>
        <v>OAK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9</v>
      </c>
      <c r="X4" s="47">
        <f>IF(ISERROR((VLOOKUP(S4,Pitchers!B$2:AA$795,11,FALSE))),"",(VLOOKUP(S4,Pitchers!B$2:AA$795,11,FALSE)))</f>
        <v>97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 xml:space="preserve"> </v>
      </c>
      <c r="AC4" s="52" t="str">
        <f>IF(ISERROR((VLOOKUP(S4,Pitchers!B$2:AA$795,17,FALSE))),"",(VLOOKUP(S4,Pitchers!B$2:AA$795,17,FALSE)))</f>
        <v>Z</v>
      </c>
      <c r="AD4" s="53" t="str">
        <f>IF(ISERROR((VLOOKUP(S4,Pitchers!B$2:AA$795,18,FALSE))),"",(VLOOKUP(S4,Pitchers!B$2:AA$795,18,FALSE)))</f>
        <v>G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BCB</v>
      </c>
    </row>
    <row r="5" spans="1:36" ht="12.75">
      <c r="A5" s="6">
        <v>4.03</v>
      </c>
      <c r="B5" s="33"/>
      <c r="C5" s="33" t="s">
        <v>34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657</v>
      </c>
      <c r="T5" s="44" t="str">
        <f>IF(ISERROR((VLOOKUP(S5,Pitchers!$B$1:H$800,4,FALSE))),"",(VLOOKUP(S5,Pitchers!$B$1:H$800,4,FALSE)))</f>
        <v>KCR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8</v>
      </c>
      <c r="X5" s="47">
        <f>IF(ISERROR((VLOOKUP(S5,Pitchers!B$2:AA$795,11,FALSE))),"",(VLOOKUP(S5,Pitchers!B$2:AA$795,11,FALSE)))</f>
        <v>164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X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BCB</v>
      </c>
    </row>
    <row r="6" spans="1:36" ht="12.75">
      <c r="A6" s="6">
        <v>4.04</v>
      </c>
      <c r="B6" s="34"/>
      <c r="C6" s="33" t="s">
        <v>34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1457</v>
      </c>
      <c r="T6" s="44" t="str">
        <f>IF(ISERROR((VLOOKUP(S6,Pitchers!$B$1:H$800,4,FALSE))),"",(VLOOKUP(S6,Pitchers!$B$1:H$800,4,FALSE)))</f>
        <v>CIN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6</v>
      </c>
      <c r="X6" s="47">
        <f>IF(ISERROR((VLOOKUP(S6,Pitchers!B$2:AA$795,11,FALSE))),"",(VLOOKUP(S6,Pitchers!B$2:AA$795,11,FALSE)))</f>
        <v>185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BCB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1204</v>
      </c>
      <c r="T7" s="44" t="str">
        <f>IF(ISERROR((VLOOKUP(S7,Pitchers!$B$1:H$800,4,FALSE))),"",(VLOOKUP(S7,Pitchers!$B$1:H$800,4,FALSE)))</f>
        <v>TOR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6</v>
      </c>
      <c r="X7" s="47">
        <f>IF(ISERROR((VLOOKUP(S7,Pitchers!B$2:AA$795,11,FALSE))),"",(VLOOKUP(S7,Pitchers!B$2:AA$795,11,FALSE)))</f>
        <v>148</v>
      </c>
      <c r="Y7" s="48"/>
      <c r="Z7" s="49"/>
      <c r="AA7" s="50"/>
      <c r="AB7" s="51" t="str">
        <f>IF(ISERROR((VLOOKUP(S7,Pitchers!B$2:AA$795,16,FALSE))),"",(VLOOKUP(S7,Pitchers!B$2:AA$795,16,FALSE)))</f>
        <v>Y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2" t="s">
        <v>32</v>
      </c>
      <c r="C8" s="33" t="s">
        <v>14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1515</v>
      </c>
      <c r="T8" s="44" t="str">
        <f>IF(ISERROR((VLOOKUP(S8,Pitchers!$B$1:H$800,4,FALSE))),"",(VLOOKUP(S8,Pitchers!$B$1:H$800,4,FALSE)))</f>
        <v>ARI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36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W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BCB</v>
      </c>
    </row>
    <row r="9" spans="1:36" ht="12.75">
      <c r="A9" s="6">
        <v>4.07</v>
      </c>
      <c r="B9" s="32" t="s">
        <v>32</v>
      </c>
      <c r="C9" s="33" t="s">
        <v>14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356</v>
      </c>
      <c r="T9" s="44" t="str">
        <f>IF(ISERROR((VLOOKUP(S9,Pitchers!$B$1:H$800,4,FALSE))),"",(VLOOKUP(S9,Pitchers!$B$1:H$800,4,FALSE)))</f>
        <v>COL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3</v>
      </c>
      <c r="X9" s="47">
        <f>IF(ISERROR((VLOOKUP(S9,Pitchers!B$2:AA$795,11,FALSE))),"",(VLOOKUP(S9,Pitchers!B$2:AA$795,11,FALSE)))</f>
        <v>69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>Z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BCB</v>
      </c>
    </row>
    <row r="10" spans="1:36" ht="12.75">
      <c r="A10" s="6">
        <v>4.08</v>
      </c>
      <c r="B10" s="32" t="s">
        <v>32</v>
      </c>
      <c r="C10" s="33" t="s">
        <v>14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1615</v>
      </c>
      <c r="T10" s="44" t="str">
        <f>IF(ISERROR((VLOOKUP(S10,Pitchers!$B$1:H$800,4,FALSE))),"",(VLOOKUP(S10,Pitchers!$B$1:H$800,4,FALSE)))</f>
        <v>COL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3</v>
      </c>
      <c r="X10" s="47">
        <f>IF(ISERROR((VLOOKUP(S10,Pitchers!B$2:AA$795,11,FALSE))),"",(VLOOKUP(S10,Pitchers!B$2:AA$795,11,FALSE)))</f>
        <v>41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Y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BCB</v>
      </c>
    </row>
    <row r="11" spans="1:36" ht="12.75">
      <c r="A11" s="6">
        <v>4.09</v>
      </c>
      <c r="B11" s="32" t="s">
        <v>32</v>
      </c>
      <c r="C11" s="33" t="s">
        <v>14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 t="s">
        <v>1366</v>
      </c>
      <c r="T11" s="44" t="str">
        <f>IF(ISERROR((VLOOKUP(S11,Pitchers!$B$1:H$800,4,FALSE))),"",(VLOOKUP(S11,Pitchers!$B$1:H$800,4,FALSE)))</f>
        <v>TEX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2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>W</v>
      </c>
      <c r="AD11" s="53" t="str">
        <f>IF(ISERROR((VLOOKUP(S11,Pitchers!B$2:AA$795,18,FALSE))),"",(VLOOKUP(S11,Pitchers!B$2:AA$795,18,FALSE)))</f>
        <v>M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BCB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68"/>
      <c r="T12" s="44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/>
      <c r="C13" s="33" t="s">
        <v>52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4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BCB</v>
      </c>
    </row>
    <row r="14" spans="1:36" ht="12.75">
      <c r="A14" s="6">
        <v>4.12</v>
      </c>
      <c r="B14" s="32"/>
      <c r="C14" s="33" t="s">
        <v>52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4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BCB</v>
      </c>
    </row>
    <row r="15" spans="1:36" ht="12.75">
      <c r="A15" s="6">
        <v>4.13</v>
      </c>
      <c r="B15" s="32"/>
      <c r="C15" s="33" t="s">
        <v>52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4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BCB</v>
      </c>
    </row>
    <row r="16" spans="1:36" ht="12.75">
      <c r="A16" s="6">
        <v>4.1399999999999997</v>
      </c>
      <c r="B16" s="32"/>
      <c r="C16" s="33" t="s">
        <v>52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4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BCB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4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44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4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BCB</v>
      </c>
    </row>
    <row r="19" spans="1:36" ht="12.75">
      <c r="A19" s="6">
        <v>4.17</v>
      </c>
      <c r="B19" s="33"/>
      <c r="C19" s="33" t="s">
        <v>44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4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BCB</v>
      </c>
    </row>
    <row r="20" spans="1:36" ht="12.75">
      <c r="A20" s="6">
        <v>4.18</v>
      </c>
      <c r="B20" s="33"/>
      <c r="C20" s="33" t="s">
        <v>44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4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BCB</v>
      </c>
    </row>
    <row r="21" spans="1:36" ht="12.75">
      <c r="A21" s="6">
        <v>4.1900000000000004</v>
      </c>
      <c r="B21" s="33"/>
      <c r="C21" s="33" t="s">
        <v>44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4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BCB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2" t="s">
        <v>32</v>
      </c>
      <c r="C23" s="33" t="s">
        <v>51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BCB</v>
      </c>
    </row>
    <row r="24" spans="1:36" ht="12.75">
      <c r="A24" s="6">
        <v>4.22</v>
      </c>
      <c r="B24" s="32" t="s">
        <v>32</v>
      </c>
      <c r="C24" s="33" t="s">
        <v>51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BCB</v>
      </c>
    </row>
    <row r="25" spans="1:36" ht="12.75">
      <c r="A25" s="6">
        <v>4.2300000000000004</v>
      </c>
      <c r="B25" s="32" t="s">
        <v>32</v>
      </c>
      <c r="C25" s="33" t="s">
        <v>51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BCB</v>
      </c>
    </row>
    <row r="26" spans="1:36" ht="12.75">
      <c r="A26" s="6">
        <v>4.24</v>
      </c>
      <c r="B26" s="32" t="s">
        <v>32</v>
      </c>
      <c r="C26" s="33" t="s">
        <v>51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BCB</v>
      </c>
    </row>
    <row r="27" spans="1:36" ht="12.75">
      <c r="A27" s="6">
        <v>4.25</v>
      </c>
      <c r="B27" s="32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2" t="s">
        <v>32</v>
      </c>
      <c r="C28" s="33" t="s">
        <v>40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BCB</v>
      </c>
    </row>
    <row r="29" spans="1:36" ht="12.75">
      <c r="A29" s="6">
        <v>4.2699999999999996</v>
      </c>
      <c r="B29" s="32" t="s">
        <v>32</v>
      </c>
      <c r="C29" s="33" t="s">
        <v>40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BCB</v>
      </c>
    </row>
    <row r="30" spans="1:36" ht="12.75">
      <c r="A30" s="6">
        <v>4.28</v>
      </c>
      <c r="B30" s="32" t="s">
        <v>32</v>
      </c>
      <c r="C30" s="33" t="s">
        <v>40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BCB</v>
      </c>
    </row>
    <row r="31" spans="1:36" ht="12.75">
      <c r="A31" s="6">
        <v>4.29</v>
      </c>
      <c r="B31" s="32" t="s">
        <v>32</v>
      </c>
      <c r="C31" s="33" t="s">
        <v>40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BCB</v>
      </c>
    </row>
    <row r="32" spans="1:36" ht="12.75">
      <c r="A32" s="6">
        <v>4.3</v>
      </c>
      <c r="B32" s="32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2" t="s">
        <v>32</v>
      </c>
      <c r="C33" s="33" t="s">
        <v>49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BCB</v>
      </c>
    </row>
    <row r="34" spans="1:36" ht="12.75">
      <c r="A34" s="6">
        <v>5.0199999999999996</v>
      </c>
      <c r="B34" s="32" t="s">
        <v>32</v>
      </c>
      <c r="C34" s="33" t="s">
        <v>49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BCB</v>
      </c>
    </row>
    <row r="35" spans="1:36" ht="12.75">
      <c r="A35" s="6">
        <v>5.03</v>
      </c>
      <c r="B35" s="32" t="s">
        <v>32</v>
      </c>
      <c r="C35" s="33" t="s">
        <v>49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BCB</v>
      </c>
    </row>
    <row r="36" spans="1:36" ht="12.75">
      <c r="A36" s="6">
        <v>5.04</v>
      </c>
      <c r="B36" s="32" t="s">
        <v>32</v>
      </c>
      <c r="C36" s="33" t="s">
        <v>49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BCB</v>
      </c>
    </row>
    <row r="37" spans="1:36" ht="12.75">
      <c r="A37" s="6">
        <v>5.05</v>
      </c>
      <c r="B37" s="33" t="s">
        <v>32</v>
      </c>
      <c r="C37" s="33" t="s">
        <v>1191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BCB</v>
      </c>
    </row>
    <row r="38" spans="1:36" ht="12.75">
      <c r="A38" s="6">
        <v>5.0599999999999996</v>
      </c>
      <c r="B38" s="33" t="s">
        <v>32</v>
      </c>
      <c r="C38" s="33" t="s">
        <v>1191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BCB</v>
      </c>
    </row>
    <row r="39" spans="1:36" ht="12.75">
      <c r="A39" s="6">
        <v>5.07</v>
      </c>
      <c r="B39" s="33" t="s">
        <v>32</v>
      </c>
      <c r="C39" s="33" t="s">
        <v>1191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BCB</v>
      </c>
    </row>
    <row r="40" spans="1:36" ht="12.75">
      <c r="A40" s="6">
        <v>5.08</v>
      </c>
      <c r="B40" s="33" t="s">
        <v>32</v>
      </c>
      <c r="C40" s="33" t="s">
        <v>1191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BCB</v>
      </c>
    </row>
    <row r="41" spans="1:36" ht="12.75">
      <c r="A41" s="6">
        <v>5.09</v>
      </c>
      <c r="B41" s="32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2" t="s">
        <v>32</v>
      </c>
      <c r="C42" s="33" t="s">
        <v>13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BCB</v>
      </c>
    </row>
    <row r="43" spans="1:36" ht="12.75">
      <c r="A43" s="6">
        <v>5.1100000000000003</v>
      </c>
      <c r="B43" s="32" t="s">
        <v>32</v>
      </c>
      <c r="C43" s="33" t="s">
        <v>13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BCB</v>
      </c>
    </row>
    <row r="44" spans="1:36" ht="12.75">
      <c r="A44" s="6">
        <v>5.12</v>
      </c>
      <c r="B44" s="32" t="s">
        <v>32</v>
      </c>
      <c r="C44" s="33" t="s">
        <v>13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BCB</v>
      </c>
    </row>
    <row r="45" spans="1:36" ht="12.75">
      <c r="A45" s="6">
        <v>5.13</v>
      </c>
      <c r="B45" s="32" t="s">
        <v>32</v>
      </c>
      <c r="C45" s="33" t="s">
        <v>13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BCB</v>
      </c>
    </row>
    <row r="46" spans="1:36" ht="12.75">
      <c r="A46" s="6">
        <v>5.14</v>
      </c>
      <c r="B46" s="34" t="s">
        <v>32</v>
      </c>
      <c r="C46" s="33" t="s">
        <v>42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BCB</v>
      </c>
    </row>
    <row r="47" spans="1:36" ht="12.75">
      <c r="A47" s="6">
        <v>5.15</v>
      </c>
      <c r="B47" s="34" t="s">
        <v>32</v>
      </c>
      <c r="C47" s="33" t="s">
        <v>42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BCB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4" t="s">
        <v>32</v>
      </c>
      <c r="C49" s="33" t="s">
        <v>42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BCB</v>
      </c>
    </row>
    <row r="50" spans="1:36" ht="12.75">
      <c r="A50" s="6">
        <v>5.18</v>
      </c>
      <c r="B50" s="32" t="s">
        <v>32</v>
      </c>
      <c r="C50" s="33" t="s">
        <v>42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BCB</v>
      </c>
    </row>
    <row r="51" spans="1:36" ht="12.75">
      <c r="A51" s="6">
        <v>5.19</v>
      </c>
      <c r="B51" s="32" t="s">
        <v>32</v>
      </c>
      <c r="C51" s="33" t="s">
        <v>43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BCB</v>
      </c>
    </row>
    <row r="52" spans="1:36" ht="12.75">
      <c r="A52" s="6">
        <v>5.2</v>
      </c>
      <c r="B52" s="32" t="s">
        <v>32</v>
      </c>
      <c r="C52" s="33" t="s">
        <v>43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BCB</v>
      </c>
    </row>
    <row r="53" spans="1:36" ht="12.75">
      <c r="A53" s="6">
        <v>5.21</v>
      </c>
      <c r="B53" s="32" t="s">
        <v>32</v>
      </c>
      <c r="C53" s="33" t="s">
        <v>43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BCB</v>
      </c>
    </row>
    <row r="54" spans="1:36" ht="12.75">
      <c r="A54" s="6">
        <v>5.22</v>
      </c>
      <c r="B54" s="32" t="s">
        <v>32</v>
      </c>
      <c r="C54" s="33" t="s">
        <v>43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BCB</v>
      </c>
    </row>
    <row r="55" spans="1:36" ht="12.75">
      <c r="A55" s="6">
        <v>5.23</v>
      </c>
      <c r="B55" s="32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/>
      <c r="C56" s="33" t="s">
        <v>46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BCB</v>
      </c>
    </row>
    <row r="57" spans="1:36" ht="12.75">
      <c r="A57" s="6">
        <v>5.25</v>
      </c>
      <c r="B57" s="33"/>
      <c r="C57" s="33" t="s">
        <v>46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BCB</v>
      </c>
    </row>
    <row r="58" spans="1:36" ht="12.75">
      <c r="A58" s="6">
        <v>5.26</v>
      </c>
      <c r="B58" s="33"/>
      <c r="C58" s="33" t="s">
        <v>46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BCB</v>
      </c>
    </row>
    <row r="59" spans="1:36" ht="12.75">
      <c r="A59" s="6">
        <v>5.27</v>
      </c>
      <c r="B59" s="33"/>
      <c r="C59" s="33" t="s">
        <v>46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BCB</v>
      </c>
    </row>
    <row r="60" spans="1:36" ht="12.75">
      <c r="A60" s="6">
        <v>5.28</v>
      </c>
      <c r="B60" s="32"/>
      <c r="C60" s="33" t="s">
        <v>12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BCB</v>
      </c>
    </row>
    <row r="61" spans="1:36" ht="12.75">
      <c r="A61" s="6">
        <v>5.29</v>
      </c>
      <c r="B61" s="32"/>
      <c r="C61" s="33" t="s">
        <v>12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BCB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2"/>
      <c r="C63" s="33" t="s">
        <v>12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BCB</v>
      </c>
    </row>
    <row r="64" spans="1:36" ht="12.75">
      <c r="A64" s="6">
        <v>6.01</v>
      </c>
      <c r="B64" s="32" t="s">
        <v>32</v>
      </c>
      <c r="C64" s="33" t="s">
        <v>45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BCB</v>
      </c>
    </row>
    <row r="65" spans="1:36" ht="12.75">
      <c r="A65" s="6">
        <v>6.02</v>
      </c>
      <c r="B65" s="32" t="s">
        <v>32</v>
      </c>
      <c r="C65" s="33" t="s">
        <v>45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BCB</v>
      </c>
    </row>
    <row r="66" spans="1:36" ht="12.75">
      <c r="A66" s="6">
        <v>6.03</v>
      </c>
      <c r="B66" s="32" t="s">
        <v>32</v>
      </c>
      <c r="C66" s="33" t="s">
        <v>45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BCB</v>
      </c>
    </row>
    <row r="67" spans="1:36" ht="12.75">
      <c r="A67" s="6">
        <v>6.04</v>
      </c>
      <c r="B67" s="32" t="s">
        <v>32</v>
      </c>
      <c r="C67" s="33" t="s">
        <v>45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BCB</v>
      </c>
    </row>
    <row r="68" spans="1:36" ht="12.75">
      <c r="A68" s="6">
        <v>6.05</v>
      </c>
      <c r="B68" s="33"/>
      <c r="C68" s="33" t="s">
        <v>1919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BCB</v>
      </c>
    </row>
    <row r="69" spans="1:36" ht="12.75">
      <c r="A69" s="6">
        <v>6.06</v>
      </c>
      <c r="B69" s="33"/>
      <c r="C69" s="33" t="s">
        <v>1919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BCB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/>
      <c r="C71" s="33" t="s">
        <v>1919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BCB</v>
      </c>
    </row>
    <row r="72" spans="1:36" ht="12.75">
      <c r="A72" s="6">
        <v>6.09</v>
      </c>
      <c r="B72" s="33"/>
      <c r="C72" s="33" t="s">
        <v>1919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BCB</v>
      </c>
    </row>
    <row r="73" spans="1:36" ht="12.75">
      <c r="A73" s="6">
        <v>6.1</v>
      </c>
      <c r="B73" s="33"/>
      <c r="C73" s="33" t="s">
        <v>39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BCB</v>
      </c>
    </row>
    <row r="74" spans="1:36" ht="12.75">
      <c r="A74" s="6">
        <v>6.11</v>
      </c>
      <c r="B74" s="33"/>
      <c r="C74" s="33" t="s">
        <v>39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BCB</v>
      </c>
    </row>
    <row r="75" spans="1:36" ht="12.75">
      <c r="A75" s="6">
        <v>6.12</v>
      </c>
      <c r="B75" s="33"/>
      <c r="C75" s="33" t="s">
        <v>39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BCB</v>
      </c>
    </row>
    <row r="76" spans="1:36" ht="12.75">
      <c r="A76" s="6">
        <v>6.13</v>
      </c>
      <c r="B76" s="33"/>
      <c r="C76" s="33" t="s">
        <v>39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BCB</v>
      </c>
    </row>
    <row r="77" spans="1:36" ht="12.75">
      <c r="A77" s="6">
        <v>6.14</v>
      </c>
      <c r="B77" s="33"/>
      <c r="C77" s="33" t="s">
        <v>16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BCB</v>
      </c>
    </row>
    <row r="78" spans="1:36" ht="12.75">
      <c r="A78" s="6">
        <v>6.15</v>
      </c>
      <c r="B78" s="33"/>
      <c r="C78" s="33" t="s">
        <v>16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BCB</v>
      </c>
    </row>
    <row r="79" spans="1:36" ht="12.75">
      <c r="A79" s="6">
        <v>6.16</v>
      </c>
      <c r="B79" s="33"/>
      <c r="C79" s="33" t="s">
        <v>16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BCB</v>
      </c>
    </row>
    <row r="80" spans="1:36" ht="12.75">
      <c r="A80" s="6">
        <v>6.17</v>
      </c>
      <c r="B80" s="33"/>
      <c r="C80" s="33" t="s">
        <v>16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BCB</v>
      </c>
    </row>
    <row r="81" spans="1:36" ht="12.75">
      <c r="A81" s="6">
        <v>6.18</v>
      </c>
      <c r="B81" s="32" t="s">
        <v>32</v>
      </c>
      <c r="C81" s="33" t="s">
        <v>48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BCB</v>
      </c>
    </row>
    <row r="82" spans="1:36" ht="12.75">
      <c r="A82" s="6">
        <v>6.19</v>
      </c>
      <c r="B82" s="32" t="s">
        <v>32</v>
      </c>
      <c r="C82" s="33" t="s">
        <v>48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BCB</v>
      </c>
    </row>
    <row r="83" spans="1:36" ht="12.75">
      <c r="A83" s="6">
        <v>6.2</v>
      </c>
      <c r="B83" s="32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2" t="s">
        <v>32</v>
      </c>
      <c r="C84" s="33" t="s">
        <v>48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BCB</v>
      </c>
    </row>
    <row r="85" spans="1:36" ht="12.75">
      <c r="A85" s="6">
        <v>6.22</v>
      </c>
      <c r="B85" s="32" t="s">
        <v>32</v>
      </c>
      <c r="C85" s="33" t="s">
        <v>48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BCB</v>
      </c>
    </row>
    <row r="86" spans="1:36" ht="12.75">
      <c r="A86" s="6">
        <v>6.23</v>
      </c>
      <c r="B86" s="33"/>
      <c r="C86" s="33" t="s">
        <v>15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BCB</v>
      </c>
    </row>
    <row r="87" spans="1:36" ht="12.75">
      <c r="A87" s="6">
        <v>6.24</v>
      </c>
      <c r="B87" s="33"/>
      <c r="C87" s="33" t="s">
        <v>15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BCB</v>
      </c>
    </row>
    <row r="88" spans="1:36" ht="12.75">
      <c r="A88" s="6">
        <v>6.25</v>
      </c>
      <c r="B88" s="33"/>
      <c r="C88" s="33" t="s">
        <v>15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BCB</v>
      </c>
    </row>
    <row r="89" spans="1:36" ht="12.75">
      <c r="A89" s="6">
        <v>6.26</v>
      </c>
      <c r="B89" s="33"/>
      <c r="C89" s="33" t="s">
        <v>15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BCB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2.75">
      <c r="A91" s="6">
        <v>6.28</v>
      </c>
      <c r="B91" s="32"/>
      <c r="C91" s="33" t="s">
        <v>54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BCB</v>
      </c>
    </row>
    <row r="92" spans="1:36" ht="12.75">
      <c r="A92" s="6">
        <v>6.29</v>
      </c>
      <c r="B92" s="32"/>
      <c r="C92" s="33" t="s">
        <v>54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BCB</v>
      </c>
    </row>
    <row r="93" spans="1:36" ht="12.75">
      <c r="A93" s="6">
        <v>6.3</v>
      </c>
      <c r="B93" s="32"/>
      <c r="C93" s="33" t="s">
        <v>54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BCB</v>
      </c>
    </row>
    <row r="94" spans="1:36" ht="12.75">
      <c r="A94" s="6">
        <v>7.01</v>
      </c>
      <c r="B94" s="32" t="s">
        <v>32</v>
      </c>
      <c r="C94" s="33" t="s">
        <v>56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BCB</v>
      </c>
    </row>
    <row r="95" spans="1:36" ht="12.75">
      <c r="A95" s="6">
        <v>7.02</v>
      </c>
      <c r="B95" s="32" t="s">
        <v>32</v>
      </c>
      <c r="C95" s="33" t="s">
        <v>56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BCB</v>
      </c>
    </row>
    <row r="96" spans="1:36" ht="12.75">
      <c r="A96" s="6">
        <v>7.03</v>
      </c>
      <c r="B96" s="32" t="s">
        <v>32</v>
      </c>
      <c r="C96" s="33" t="s">
        <v>56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BCB</v>
      </c>
    </row>
    <row r="97" spans="1:36" ht="12.75">
      <c r="A97" s="6">
        <v>7.04</v>
      </c>
      <c r="B97" s="32" t="s">
        <v>32</v>
      </c>
      <c r="C97" s="33" t="s">
        <v>1917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BCB</v>
      </c>
    </row>
    <row r="98" spans="1:36" ht="12.75">
      <c r="A98" s="6">
        <v>7.05</v>
      </c>
      <c r="B98" s="32" t="s">
        <v>32</v>
      </c>
      <c r="C98" s="33" t="s">
        <v>1917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BCB</v>
      </c>
    </row>
    <row r="99" spans="1:36" ht="12.75">
      <c r="A99" s="6">
        <v>7.06</v>
      </c>
      <c r="B99" s="32" t="s">
        <v>32</v>
      </c>
      <c r="C99" s="33" t="s">
        <v>1917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BCB</v>
      </c>
    </row>
    <row r="100" spans="1:36" ht="12.75">
      <c r="A100" s="6">
        <v>7.07</v>
      </c>
      <c r="B100" s="32" t="s">
        <v>32</v>
      </c>
      <c r="C100" s="33" t="s">
        <v>33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BCB</v>
      </c>
    </row>
    <row r="101" spans="1:36" ht="12.75">
      <c r="A101" s="6">
        <v>7.08</v>
      </c>
      <c r="B101" s="32" t="s">
        <v>32</v>
      </c>
      <c r="C101" s="33" t="s">
        <v>33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BCB</v>
      </c>
    </row>
    <row r="102" spans="1:36" ht="12.75">
      <c r="A102" s="6">
        <v>7.09</v>
      </c>
      <c r="B102" s="32" t="s">
        <v>32</v>
      </c>
      <c r="C102" s="33" t="s">
        <v>33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BCB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2" t="s">
        <v>32</v>
      </c>
      <c r="C106" s="33" t="s">
        <v>17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BCB</v>
      </c>
    </row>
    <row r="107" spans="1:36" ht="12.75">
      <c r="A107" s="6">
        <v>7.14</v>
      </c>
      <c r="B107" s="32" t="s">
        <v>32</v>
      </c>
      <c r="C107" s="33" t="s">
        <v>17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BCB</v>
      </c>
    </row>
    <row r="108" spans="1:36" ht="12.75">
      <c r="A108" s="6">
        <v>7.15</v>
      </c>
      <c r="B108" s="32" t="s">
        <v>32</v>
      </c>
      <c r="C108" s="33" t="s">
        <v>17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BCB</v>
      </c>
    </row>
    <row r="109" spans="1:36" ht="12.75">
      <c r="A109" s="6">
        <v>7.16</v>
      </c>
      <c r="B109" s="32" t="s">
        <v>32</v>
      </c>
      <c r="C109" s="33" t="s">
        <v>53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BCB</v>
      </c>
    </row>
    <row r="110" spans="1:36" ht="12.75">
      <c r="A110" s="6">
        <v>7.17</v>
      </c>
      <c r="B110" s="32" t="s">
        <v>32</v>
      </c>
      <c r="C110" s="33" t="s">
        <v>53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BCB</v>
      </c>
    </row>
    <row r="111" spans="1:36" ht="12.75">
      <c r="A111" s="6">
        <v>7.18</v>
      </c>
      <c r="B111" s="32" t="s">
        <v>32</v>
      </c>
      <c r="C111" s="33" t="s">
        <v>53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BCB</v>
      </c>
    </row>
    <row r="112" spans="1:36" ht="12.75">
      <c r="A112" s="6">
        <v>7.19</v>
      </c>
      <c r="B112" s="32" t="s">
        <v>32</v>
      </c>
      <c r="C112" s="33" t="s">
        <v>47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BCB</v>
      </c>
    </row>
    <row r="113" spans="1:36" ht="12.75">
      <c r="A113" s="6">
        <v>7.2</v>
      </c>
      <c r="B113" s="32" t="s">
        <v>32</v>
      </c>
      <c r="C113" s="33" t="s">
        <v>47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BCB</v>
      </c>
    </row>
    <row r="114" spans="1:36" ht="12.75">
      <c r="A114" s="6">
        <v>7.21</v>
      </c>
      <c r="B114" s="32" t="s">
        <v>32</v>
      </c>
      <c r="C114" s="33" t="s">
        <v>47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BCB</v>
      </c>
    </row>
    <row r="115" spans="1:36" ht="12.75">
      <c r="A115" s="6">
        <v>7.22</v>
      </c>
      <c r="B115" s="32" t="s">
        <v>32</v>
      </c>
      <c r="C115" s="33" t="s">
        <v>47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BCB</v>
      </c>
    </row>
    <row r="116" spans="1:36" ht="12.75">
      <c r="A116" s="6">
        <v>7.23</v>
      </c>
      <c r="B116" s="33"/>
      <c r="C116" s="33" t="s">
        <v>55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BCB</v>
      </c>
    </row>
    <row r="117" spans="1:36" ht="12.75">
      <c r="A117" s="6">
        <v>7.24</v>
      </c>
      <c r="B117" s="33"/>
      <c r="C117" s="33" t="s">
        <v>55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BCB</v>
      </c>
    </row>
    <row r="118" spans="1:36" ht="12.75">
      <c r="A118" s="6">
        <v>7.25</v>
      </c>
      <c r="B118" s="33"/>
      <c r="C118" s="33" t="s">
        <v>55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BCB</v>
      </c>
    </row>
    <row r="119" spans="1:36" ht="12.75">
      <c r="A119" s="6">
        <v>7.26</v>
      </c>
      <c r="B119" s="33"/>
      <c r="C119" s="33" t="s">
        <v>55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BCB</v>
      </c>
    </row>
    <row r="120" spans="1:36" ht="12.75">
      <c r="A120" s="6">
        <v>7.27</v>
      </c>
      <c r="B120" s="32"/>
      <c r="C120" s="33" t="s">
        <v>41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BCB</v>
      </c>
    </row>
    <row r="121" spans="1:36" ht="12.75">
      <c r="A121" s="6">
        <v>7.28</v>
      </c>
      <c r="B121" s="32"/>
      <c r="C121" s="33" t="s">
        <v>41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BCB</v>
      </c>
    </row>
    <row r="122" spans="1:36" ht="12.75">
      <c r="A122" s="6">
        <v>7.29</v>
      </c>
      <c r="B122" s="32"/>
      <c r="C122" s="33" t="s">
        <v>41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BCB</v>
      </c>
    </row>
    <row r="123" spans="1:36" ht="12.75">
      <c r="A123" s="6">
        <v>7.3</v>
      </c>
      <c r="B123" s="32"/>
      <c r="C123" s="33" t="s">
        <v>41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BCB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2" t="s">
        <v>32</v>
      </c>
      <c r="C125" s="33" t="s">
        <v>1918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BCB</v>
      </c>
    </row>
    <row r="126" spans="1:36" ht="12.75">
      <c r="A126" s="6">
        <v>8.02</v>
      </c>
      <c r="B126" s="32" t="s">
        <v>32</v>
      </c>
      <c r="C126" s="33" t="s">
        <v>1918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BCB</v>
      </c>
    </row>
    <row r="127" spans="1:36" ht="12.75">
      <c r="A127" s="6">
        <v>8.0299999999999994</v>
      </c>
      <c r="B127" s="32" t="s">
        <v>32</v>
      </c>
      <c r="C127" s="33" t="s">
        <v>1918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BCB</v>
      </c>
    </row>
    <row r="128" spans="1:36" ht="12.75">
      <c r="A128" s="6">
        <v>8.0399999999999991</v>
      </c>
      <c r="B128" s="32" t="s">
        <v>32</v>
      </c>
      <c r="C128" s="33" t="s">
        <v>1918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BCB</v>
      </c>
    </row>
    <row r="129" spans="1:36" ht="12.75">
      <c r="A129" s="6">
        <v>8.0500000000000007</v>
      </c>
      <c r="B129" s="33"/>
      <c r="C129" s="33" t="s">
        <v>56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BCB</v>
      </c>
    </row>
    <row r="130" spans="1:36" ht="12.75">
      <c r="A130" s="6">
        <v>8.06</v>
      </c>
      <c r="B130" s="33"/>
      <c r="C130" s="33" t="s">
        <v>56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BCB</v>
      </c>
    </row>
    <row r="131" spans="1:36" ht="12.75">
      <c r="A131" s="6">
        <v>8.07</v>
      </c>
      <c r="B131" s="33"/>
      <c r="C131" s="33" t="s">
        <v>56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BCB</v>
      </c>
    </row>
    <row r="132" spans="1:36" ht="12.75">
      <c r="A132" s="6">
        <v>8.08</v>
      </c>
      <c r="B132" s="33"/>
      <c r="C132" s="33" t="s">
        <v>56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BCB</v>
      </c>
    </row>
    <row r="133" spans="1:36" ht="12.75">
      <c r="A133" s="6">
        <v>8.09</v>
      </c>
      <c r="B133" s="32"/>
      <c r="C133" s="33" t="s">
        <v>53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BCB</v>
      </c>
    </row>
    <row r="134" spans="1:36" ht="12.75">
      <c r="A134" s="6">
        <v>8.1</v>
      </c>
      <c r="B134" s="34"/>
      <c r="C134" s="33" t="s">
        <v>53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BCB</v>
      </c>
    </row>
    <row r="135" spans="1:36" ht="12.75">
      <c r="A135" s="6">
        <v>8.11</v>
      </c>
      <c r="B135" s="34"/>
      <c r="C135" s="33" t="s">
        <v>53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BCB</v>
      </c>
    </row>
    <row r="136" spans="1:36" ht="12.75">
      <c r="A136" s="6">
        <v>8.1199999999999992</v>
      </c>
      <c r="B136" s="34"/>
      <c r="C136" s="33" t="s">
        <v>53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BCB</v>
      </c>
    </row>
    <row r="137" spans="1:36" ht="12.75">
      <c r="A137" s="6">
        <v>8.1300000000000008</v>
      </c>
      <c r="B137" s="33" t="s">
        <v>32</v>
      </c>
      <c r="C137" s="33" t="s">
        <v>54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BCB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 t="s">
        <v>32</v>
      </c>
      <c r="C139" s="33" t="s">
        <v>54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BCB</v>
      </c>
    </row>
    <row r="140" spans="1:36" ht="12.75">
      <c r="A140" s="6">
        <v>8.16</v>
      </c>
      <c r="B140" s="33" t="s">
        <v>32</v>
      </c>
      <c r="C140" s="33" t="s">
        <v>54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BCB</v>
      </c>
    </row>
    <row r="141" spans="1:36" ht="12.75">
      <c r="A141" s="6">
        <v>8.17</v>
      </c>
      <c r="B141" s="33" t="s">
        <v>32</v>
      </c>
      <c r="C141" s="33" t="s">
        <v>54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BCB</v>
      </c>
    </row>
    <row r="142" spans="1:36" ht="12.75">
      <c r="A142" s="6">
        <v>8.18</v>
      </c>
      <c r="B142" s="33"/>
      <c r="C142" s="33" t="s">
        <v>49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BCB</v>
      </c>
    </row>
    <row r="143" spans="1:36" ht="12.75">
      <c r="A143" s="6">
        <v>8.19</v>
      </c>
      <c r="B143" s="33"/>
      <c r="C143" s="33" t="s">
        <v>49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BCB</v>
      </c>
    </row>
    <row r="144" spans="1:36" ht="12.75">
      <c r="A144" s="6">
        <v>8.1999999999999993</v>
      </c>
      <c r="B144" s="33"/>
      <c r="C144" s="33" t="s">
        <v>49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BCB</v>
      </c>
    </row>
    <row r="145" spans="1:36" ht="12.75">
      <c r="A145" s="6">
        <v>8.2100000000000009</v>
      </c>
      <c r="B145" s="33"/>
      <c r="C145" s="33" t="s">
        <v>17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BCB</v>
      </c>
    </row>
    <row r="146" spans="1:36" ht="12.75">
      <c r="A146" s="6">
        <v>8.2200000000000006</v>
      </c>
      <c r="B146" s="33"/>
      <c r="C146" s="33" t="s">
        <v>17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BCB</v>
      </c>
    </row>
    <row r="147" spans="1:36" ht="12.75">
      <c r="A147" s="6">
        <v>8.23</v>
      </c>
      <c r="B147" s="33"/>
      <c r="C147" s="33" t="s">
        <v>17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BCB</v>
      </c>
    </row>
    <row r="148" spans="1:36" ht="12.75">
      <c r="A148" s="6">
        <v>8.24</v>
      </c>
      <c r="B148" s="33"/>
      <c r="C148" s="33" t="s">
        <v>17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BCB</v>
      </c>
    </row>
    <row r="149" spans="1:36" ht="12.75">
      <c r="A149" s="6">
        <v>8.25</v>
      </c>
      <c r="B149" s="32"/>
      <c r="C149" s="33" t="s">
        <v>1917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BCB</v>
      </c>
    </row>
    <row r="150" spans="1:36" ht="12.75">
      <c r="A150" s="6">
        <v>8.26</v>
      </c>
      <c r="B150" s="32"/>
      <c r="C150" s="33" t="s">
        <v>1917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BCB</v>
      </c>
    </row>
    <row r="151" spans="1:36" ht="12.75">
      <c r="A151" s="6">
        <v>8.27</v>
      </c>
      <c r="B151" s="32"/>
      <c r="C151" s="33" t="s">
        <v>1917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BCB</v>
      </c>
    </row>
    <row r="152" spans="1:36" ht="12.75">
      <c r="A152" s="6">
        <v>8.2799999999999994</v>
      </c>
      <c r="B152" s="32"/>
      <c r="C152" s="33" t="s">
        <v>1917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BCB</v>
      </c>
    </row>
    <row r="153" spans="1:36" ht="12.75">
      <c r="A153" s="6">
        <v>8.2899999999999991</v>
      </c>
      <c r="B153" s="32"/>
      <c r="C153" s="33" t="s">
        <v>1191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BCB</v>
      </c>
    </row>
    <row r="154" spans="1:36" ht="12.75">
      <c r="A154" s="6">
        <v>8.3000000000000007</v>
      </c>
      <c r="B154" s="32"/>
      <c r="C154" s="33" t="s">
        <v>1191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BCB</v>
      </c>
    </row>
    <row r="155" spans="1:36" ht="12.75">
      <c r="A155" s="6">
        <v>8.31</v>
      </c>
      <c r="B155" s="32"/>
      <c r="C155" s="33" t="s">
        <v>1191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BCB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/>
      <c r="C157" s="33" t="s">
        <v>43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BCB</v>
      </c>
    </row>
    <row r="158" spans="1:36" ht="12.75">
      <c r="A158" s="6">
        <v>9.0299999999999994</v>
      </c>
      <c r="B158" s="33"/>
      <c r="C158" s="33" t="s">
        <v>43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BCB</v>
      </c>
    </row>
    <row r="159" spans="1:36" ht="12.75">
      <c r="A159" s="6">
        <v>9.0399999999999991</v>
      </c>
      <c r="B159" s="33"/>
      <c r="C159" s="33" t="s">
        <v>43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BCB</v>
      </c>
    </row>
    <row r="160" spans="1:36" ht="12.75">
      <c r="A160" s="6">
        <v>9.0500000000000007</v>
      </c>
      <c r="B160" s="32" t="s">
        <v>32</v>
      </c>
      <c r="C160" s="33" t="s">
        <v>1919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BCB</v>
      </c>
    </row>
    <row r="161" spans="1:36" ht="12.75">
      <c r="A161" s="6">
        <v>9.06</v>
      </c>
      <c r="B161" s="32" t="s">
        <v>32</v>
      </c>
      <c r="C161" s="33" t="s">
        <v>1919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BCB</v>
      </c>
    </row>
    <row r="162" spans="1:36" ht="12.75">
      <c r="A162" s="6">
        <v>9.07</v>
      </c>
      <c r="B162" s="32" t="s">
        <v>32</v>
      </c>
      <c r="C162" s="33" t="s">
        <v>1919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BCB</v>
      </c>
    </row>
    <row r="163" spans="1:36" ht="12.75">
      <c r="A163" s="6">
        <v>9.08</v>
      </c>
      <c r="B163" s="32"/>
      <c r="C163" s="33" t="s">
        <v>42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BCB</v>
      </c>
    </row>
    <row r="164" spans="1:36" ht="12.75">
      <c r="A164" s="6">
        <v>9.09</v>
      </c>
      <c r="B164" s="32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2"/>
      <c r="C165" s="33" t="s">
        <v>42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BCB</v>
      </c>
    </row>
    <row r="166" spans="1:36" ht="12.75">
      <c r="A166" s="6">
        <v>9.11</v>
      </c>
      <c r="B166" s="32"/>
      <c r="C166" s="33" t="s">
        <v>42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BCB</v>
      </c>
    </row>
    <row r="167" spans="1:36" ht="12.75">
      <c r="A167" s="6">
        <v>9.1199999999999992</v>
      </c>
      <c r="B167" s="33" t="s">
        <v>32</v>
      </c>
      <c r="C167" s="33" t="s">
        <v>12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BCB</v>
      </c>
    </row>
    <row r="168" spans="1:36" ht="12.75">
      <c r="A168" s="6">
        <v>9.1300000000000008</v>
      </c>
      <c r="B168" s="33" t="s">
        <v>32</v>
      </c>
      <c r="C168" s="33" t="s">
        <v>12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BCB</v>
      </c>
    </row>
    <row r="169" spans="1:36" ht="12.75">
      <c r="A169" s="6">
        <v>9.14</v>
      </c>
      <c r="B169" s="33" t="s">
        <v>32</v>
      </c>
      <c r="C169" s="33" t="s">
        <v>12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BCB</v>
      </c>
    </row>
    <row r="170" spans="1:36" ht="12.75">
      <c r="A170" s="6">
        <v>9.15</v>
      </c>
      <c r="B170" s="33" t="s">
        <v>32</v>
      </c>
      <c r="C170" s="33" t="s">
        <v>12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BCB</v>
      </c>
    </row>
    <row r="171" spans="1:36" ht="12.75">
      <c r="A171" s="6">
        <v>9.16</v>
      </c>
      <c r="B171" s="33"/>
      <c r="C171" s="33" t="s">
        <v>1918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BCB</v>
      </c>
    </row>
    <row r="172" spans="1:36" ht="12.75">
      <c r="A172" s="6">
        <v>9.17</v>
      </c>
      <c r="B172" s="33"/>
      <c r="C172" s="33" t="s">
        <v>1918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BCB</v>
      </c>
    </row>
    <row r="173" spans="1:36" ht="12.75">
      <c r="A173" s="6">
        <v>9.18</v>
      </c>
      <c r="B173" s="33"/>
      <c r="C173" s="33" t="s">
        <v>1918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BCB</v>
      </c>
    </row>
    <row r="174" spans="1:36" ht="12.75">
      <c r="A174" s="6">
        <v>9.19</v>
      </c>
      <c r="B174" s="33"/>
      <c r="C174" s="33" t="s">
        <v>33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BCB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33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BCB</v>
      </c>
    </row>
    <row r="177" spans="1:36" ht="12.75">
      <c r="A177" s="6">
        <v>9.2200000000000006</v>
      </c>
      <c r="B177" s="33"/>
      <c r="C177" s="33" t="s">
        <v>33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BCB</v>
      </c>
    </row>
    <row r="178" spans="1:36" ht="12.75">
      <c r="A178" s="6">
        <v>9.23</v>
      </c>
      <c r="B178" s="33"/>
      <c r="C178" s="33" t="s">
        <v>33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BCB</v>
      </c>
    </row>
    <row r="179" spans="1:36" ht="12.75">
      <c r="A179" s="6">
        <v>9.24</v>
      </c>
      <c r="B179" s="32" t="s">
        <v>32</v>
      </c>
      <c r="C179" s="33" t="s">
        <v>34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BCB</v>
      </c>
    </row>
    <row r="180" spans="1:36" ht="12.75">
      <c r="A180" s="6">
        <v>9.25</v>
      </c>
      <c r="B180" s="32" t="s">
        <v>32</v>
      </c>
      <c r="C180" s="33" t="s">
        <v>34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BCB</v>
      </c>
    </row>
    <row r="181" spans="1:36" ht="12.75">
      <c r="A181" s="6">
        <v>9.26</v>
      </c>
      <c r="B181" s="32" t="s">
        <v>32</v>
      </c>
      <c r="C181" s="33" t="s">
        <v>34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BCB</v>
      </c>
    </row>
    <row r="182" spans="1:36" ht="12.75">
      <c r="A182" s="6">
        <v>9.27</v>
      </c>
      <c r="B182" s="32" t="s">
        <v>32</v>
      </c>
      <c r="C182" s="33" t="s">
        <v>15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BCB</v>
      </c>
    </row>
    <row r="183" spans="1:36" ht="12.75">
      <c r="A183" s="6">
        <v>9.2799999999999994</v>
      </c>
      <c r="B183" s="32" t="s">
        <v>32</v>
      </c>
      <c r="C183" s="33" t="s">
        <v>15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BCB</v>
      </c>
    </row>
    <row r="184" spans="1:36" ht="12.75">
      <c r="A184" s="6">
        <v>9.2899999999999991</v>
      </c>
      <c r="B184" s="32" t="s">
        <v>32</v>
      </c>
      <c r="C184" s="33" t="s">
        <v>15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BCB</v>
      </c>
    </row>
    <row r="185" spans="1:36" ht="12.75">
      <c r="A185" s="6">
        <v>9.3000000000000007</v>
      </c>
      <c r="B185" s="32" t="s">
        <v>32</v>
      </c>
      <c r="C185" s="33" t="s">
        <v>15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BCB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K197" s="2"/>
      <c r="AJ197" s="2"/>
    </row>
    <row r="198" spans="3:36">
      <c r="C198" s="2"/>
      <c r="K198" s="2"/>
      <c r="AJ198" s="2"/>
    </row>
    <row r="199" spans="3:36">
      <c r="C199" s="2"/>
      <c r="K199" s="2"/>
      <c r="AJ199" s="2"/>
    </row>
    <row r="200" spans="3:36">
      <c r="C200" s="2"/>
      <c r="K200" s="2"/>
      <c r="AJ200" s="2"/>
    </row>
    <row r="201" spans="3:36">
      <c r="C201" s="2"/>
      <c r="K201" s="2"/>
      <c r="AJ201" s="2"/>
    </row>
    <row r="202" spans="3:36">
      <c r="C202" s="2"/>
      <c r="K202" s="2"/>
      <c r="AJ202" s="2"/>
    </row>
    <row r="203" spans="3:36">
      <c r="C203" s="2"/>
      <c r="K203" s="2"/>
      <c r="AJ203" s="2"/>
    </row>
    <row r="204" spans="3:36">
      <c r="C204" s="2"/>
      <c r="AJ204" s="2"/>
    </row>
    <row r="205" spans="3:36">
      <c r="C205" s="2"/>
      <c r="AJ205" s="2"/>
    </row>
    <row r="206" spans="3:36">
      <c r="C206" s="2"/>
      <c r="AJ206" s="2"/>
    </row>
    <row r="207" spans="3:36">
      <c r="C207" s="2"/>
      <c r="AJ207" s="2"/>
    </row>
    <row r="208" spans="3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AJ212" s="2"/>
    </row>
    <row r="213" spans="3:36">
      <c r="AJ213" s="2"/>
    </row>
    <row r="214" spans="3:36">
      <c r="AJ214" s="2"/>
    </row>
    <row r="215" spans="3:36">
      <c r="AJ215" s="2"/>
    </row>
    <row r="216" spans="3:36">
      <c r="AJ216" s="2"/>
    </row>
    <row r="217" spans="3:36">
      <c r="AJ217" s="2"/>
    </row>
  </sheetData>
  <phoneticPr fontId="0" type="noConversion"/>
  <conditionalFormatting sqref="AK3:AK22">
    <cfRule type="cellIs" dxfId="8099" priority="1097" stopIfTrue="1" operator="equal">
      <formula>"must average at least 5 innings per start"</formula>
    </cfRule>
  </conditionalFormatting>
  <conditionalFormatting sqref="AK23">
    <cfRule type="cellIs" dxfId="8098" priority="1098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097" priority="1099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8096" priority="1100" stopIfTrue="1" operator="equal">
      <formula>"input a different starter in column C"</formula>
    </cfRule>
  </conditionalFormatting>
  <conditionalFormatting sqref="AG3:AG22">
    <cfRule type="cellIs" dxfId="8095" priority="632" stopIfTrue="1" operator="equal">
      <formula>"must average at least 5 innings per start"</formula>
    </cfRule>
  </conditionalFormatting>
  <conditionalFormatting sqref="AG23">
    <cfRule type="cellIs" dxfId="8094" priority="631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8093" priority="630" stopIfTrue="1" operator="equal">
      <formula>"input starter in column C"</formula>
    </cfRule>
  </conditionalFormatting>
  <conditionalFormatting sqref="P3">
    <cfRule type="cellIs" dxfId="8092" priority="629" stopIfTrue="1" operator="equal">
      <formula>"input starter in column D"</formula>
    </cfRule>
  </conditionalFormatting>
  <conditionalFormatting sqref="P4">
    <cfRule type="cellIs" dxfId="8091" priority="628" stopIfTrue="1" operator="equal">
      <formula>"input starter in column D"</formula>
    </cfRule>
  </conditionalFormatting>
  <conditionalFormatting sqref="P5">
    <cfRule type="cellIs" dxfId="8090" priority="627" stopIfTrue="1" operator="equal">
      <formula>"INPUT STARTER IN COLUMN D"</formula>
    </cfRule>
  </conditionalFormatting>
  <conditionalFormatting sqref="P6">
    <cfRule type="cellIs" dxfId="8089" priority="626" stopIfTrue="1" operator="equal">
      <formula>"INPUT STARTER IN COLUMN D"</formula>
    </cfRule>
  </conditionalFormatting>
  <conditionalFormatting sqref="P8">
    <cfRule type="cellIs" dxfId="8088" priority="625" stopIfTrue="1" operator="equal">
      <formula>"INPUT STARTER IN COLUMN D"</formula>
    </cfRule>
  </conditionalFormatting>
  <conditionalFormatting sqref="P9">
    <cfRule type="cellIs" dxfId="8087" priority="624" stopIfTrue="1" operator="equal">
      <formula>"INPUT STARTER IN COLUMN D"</formula>
    </cfRule>
  </conditionalFormatting>
  <conditionalFormatting sqref="P10">
    <cfRule type="cellIs" dxfId="8086" priority="623" stopIfTrue="1" operator="equal">
      <formula>"INPUT STARTER IN COLUMN D"</formula>
    </cfRule>
  </conditionalFormatting>
  <conditionalFormatting sqref="P11">
    <cfRule type="cellIs" dxfId="8085" priority="622" stopIfTrue="1" operator="equal">
      <formula>"INPUT STARTER IN COLUMN D"</formula>
    </cfRule>
  </conditionalFormatting>
  <conditionalFormatting sqref="P13">
    <cfRule type="cellIs" dxfId="8084" priority="621" stopIfTrue="1" operator="equal">
      <formula>"INPUT STARTER IN COLUMN D"</formula>
    </cfRule>
  </conditionalFormatting>
  <conditionalFormatting sqref="P14">
    <cfRule type="cellIs" dxfId="8083" priority="620" stopIfTrue="1" operator="equal">
      <formula>"INPUT STARTER IN COLUMN D"</formula>
    </cfRule>
  </conditionalFormatting>
  <conditionalFormatting sqref="P15">
    <cfRule type="cellIs" dxfId="8082" priority="619" stopIfTrue="1" operator="equal">
      <formula>"INPUT STARTER IN COLUMN D"</formula>
    </cfRule>
  </conditionalFormatting>
  <conditionalFormatting sqref="P16">
    <cfRule type="cellIs" dxfId="8081" priority="618" stopIfTrue="1" operator="equal">
      <formula>"INPUT STARTER IN COLUMN D"</formula>
    </cfRule>
  </conditionalFormatting>
  <conditionalFormatting sqref="P18">
    <cfRule type="cellIs" dxfId="8080" priority="617" stopIfTrue="1" operator="equal">
      <formula>"INPUT STARTER IN COLUMN D"</formula>
    </cfRule>
  </conditionalFormatting>
  <conditionalFormatting sqref="P19">
    <cfRule type="cellIs" dxfId="8079" priority="616" stopIfTrue="1" operator="equal">
      <formula>"INPUT STARTER IN COLUMN D"</formula>
    </cfRule>
  </conditionalFormatting>
  <conditionalFormatting sqref="P20">
    <cfRule type="cellIs" dxfId="8078" priority="615" stopIfTrue="1" operator="equal">
      <formula>"INPUT STARTER IN COLUMN D"</formula>
    </cfRule>
  </conditionalFormatting>
  <conditionalFormatting sqref="P21">
    <cfRule type="cellIs" dxfId="8077" priority="614" stopIfTrue="1" operator="equal">
      <formula>"INPUT STARTER IN COLUMN D"</formula>
    </cfRule>
  </conditionalFormatting>
  <conditionalFormatting sqref="P23">
    <cfRule type="cellIs" dxfId="8076" priority="613" stopIfTrue="1" operator="equal">
      <formula>"INPUT STARTER IN COLUMN D"</formula>
    </cfRule>
  </conditionalFormatting>
  <conditionalFormatting sqref="P24">
    <cfRule type="cellIs" dxfId="8075" priority="612" stopIfTrue="1" operator="equal">
      <formula>"INPUT STARTER IN COLUMN D"</formula>
    </cfRule>
  </conditionalFormatting>
  <conditionalFormatting sqref="P25">
    <cfRule type="cellIs" dxfId="8074" priority="611" stopIfTrue="1" operator="equal">
      <formula>"INPUT STARTER IN COLUMN D"</formula>
    </cfRule>
  </conditionalFormatting>
  <conditionalFormatting sqref="P26">
    <cfRule type="cellIs" dxfId="8073" priority="610" stopIfTrue="1" operator="equal">
      <formula>"INPUT STARTER IN COLUMN D"</formula>
    </cfRule>
  </conditionalFormatting>
  <conditionalFormatting sqref="P28">
    <cfRule type="cellIs" dxfId="8072" priority="609" stopIfTrue="1" operator="equal">
      <formula>"INPUT STARTER IN COLUMN D"</formula>
    </cfRule>
  </conditionalFormatting>
  <conditionalFormatting sqref="P29">
    <cfRule type="cellIs" dxfId="8071" priority="608" stopIfTrue="1" operator="equal">
      <formula>"INPUT STARTER IN COLUMN D"</formula>
    </cfRule>
  </conditionalFormatting>
  <conditionalFormatting sqref="P30">
    <cfRule type="cellIs" dxfId="8070" priority="607" stopIfTrue="1" operator="equal">
      <formula>"INPUT STARTER IN COLUMN D"</formula>
    </cfRule>
  </conditionalFormatting>
  <conditionalFormatting sqref="P31">
    <cfRule type="cellIs" dxfId="8069" priority="606" stopIfTrue="1" operator="equal">
      <formula>"INPUT STARTER IN COLUMN D"</formula>
    </cfRule>
  </conditionalFormatting>
  <conditionalFormatting sqref="P33">
    <cfRule type="cellIs" dxfId="8068" priority="605" stopIfTrue="1" operator="equal">
      <formula>"INPUT STARTER IN COLUMN D"</formula>
    </cfRule>
  </conditionalFormatting>
  <conditionalFormatting sqref="P34">
    <cfRule type="cellIs" dxfId="8067" priority="604" stopIfTrue="1" operator="equal">
      <formula>"INPUT STARTER IN COLUMN D"</formula>
    </cfRule>
  </conditionalFormatting>
  <conditionalFormatting sqref="P35">
    <cfRule type="cellIs" dxfId="8066" priority="603" stopIfTrue="1" operator="equal">
      <formula>"INPUT STARTER IN COLUMN D"</formula>
    </cfRule>
  </conditionalFormatting>
  <conditionalFormatting sqref="P36">
    <cfRule type="cellIs" dxfId="8065" priority="602" stopIfTrue="1" operator="equal">
      <formula>"INPUT STARTER IN COLUMN D"</formula>
    </cfRule>
  </conditionalFormatting>
  <conditionalFormatting sqref="P37">
    <cfRule type="cellIs" dxfId="8064" priority="601" stopIfTrue="1" operator="equal">
      <formula>"INPUT STARTER IN COLUMN D"</formula>
    </cfRule>
  </conditionalFormatting>
  <conditionalFormatting sqref="P38">
    <cfRule type="cellIs" dxfId="8063" priority="600" stopIfTrue="1" operator="equal">
      <formula>"INPUT STARTER IN COLUMN D"</formula>
    </cfRule>
  </conditionalFormatting>
  <conditionalFormatting sqref="P39">
    <cfRule type="cellIs" dxfId="8062" priority="599" stopIfTrue="1" operator="equal">
      <formula>"INPUT STARTER IN COLUMN D"</formula>
    </cfRule>
  </conditionalFormatting>
  <conditionalFormatting sqref="P40">
    <cfRule type="cellIs" dxfId="8061" priority="598" stopIfTrue="1" operator="equal">
      <formula>"INPUT STARTER IN COLUMN D"</formula>
    </cfRule>
  </conditionalFormatting>
  <conditionalFormatting sqref="P42">
    <cfRule type="cellIs" dxfId="8060" priority="597" stopIfTrue="1" operator="equal">
      <formula>"INPUT STARTER IN COLUMN D"</formula>
    </cfRule>
  </conditionalFormatting>
  <conditionalFormatting sqref="P43">
    <cfRule type="cellIs" dxfId="8059" priority="596" stopIfTrue="1" operator="equal">
      <formula>"INPUT STARTER IN COLUMN D"</formula>
    </cfRule>
  </conditionalFormatting>
  <conditionalFormatting sqref="P44">
    <cfRule type="cellIs" dxfId="8058" priority="595" stopIfTrue="1" operator="equal">
      <formula>"INPUT STARTER IN COLUMN D"</formula>
    </cfRule>
  </conditionalFormatting>
  <conditionalFormatting sqref="P45">
    <cfRule type="cellIs" dxfId="8057" priority="594" stopIfTrue="1" operator="equal">
      <formula>"INPUT STARTER IN COLUMN D"</formula>
    </cfRule>
  </conditionalFormatting>
  <conditionalFormatting sqref="P46">
    <cfRule type="cellIs" dxfId="8056" priority="593" stopIfTrue="1" operator="equal">
      <formula>"INPUT STARTER IN COLUMN D"</formula>
    </cfRule>
  </conditionalFormatting>
  <conditionalFormatting sqref="P47">
    <cfRule type="cellIs" dxfId="8055" priority="592" stopIfTrue="1" operator="equal">
      <formula>"INPUT STARTER IN COLUMN D"</formula>
    </cfRule>
  </conditionalFormatting>
  <conditionalFormatting sqref="P49">
    <cfRule type="cellIs" dxfId="8054" priority="591" stopIfTrue="1" operator="equal">
      <formula>"INPUT STARTER IN COLUMN D"</formula>
    </cfRule>
  </conditionalFormatting>
  <conditionalFormatting sqref="P50">
    <cfRule type="cellIs" dxfId="8053" priority="590" stopIfTrue="1" operator="equal">
      <formula>"INPUT STARTER IN COLUMN D"</formula>
    </cfRule>
  </conditionalFormatting>
  <conditionalFormatting sqref="P51">
    <cfRule type="cellIs" dxfId="8052" priority="589" stopIfTrue="1" operator="equal">
      <formula>"INPUT STARTER IN COLUMN D"</formula>
    </cfRule>
  </conditionalFormatting>
  <conditionalFormatting sqref="P52">
    <cfRule type="cellIs" dxfId="8051" priority="588" stopIfTrue="1" operator="equal">
      <formula>"INPUT STARTER IN COLUMN D"</formula>
    </cfRule>
  </conditionalFormatting>
  <conditionalFormatting sqref="P53">
    <cfRule type="cellIs" dxfId="8050" priority="587" stopIfTrue="1" operator="equal">
      <formula>"INPUT STARTER IN COLUMN D"</formula>
    </cfRule>
  </conditionalFormatting>
  <conditionalFormatting sqref="P54">
    <cfRule type="cellIs" dxfId="8049" priority="586" stopIfTrue="1" operator="equal">
      <formula>"INPUT STARTER IN COLUMN D"</formula>
    </cfRule>
  </conditionalFormatting>
  <conditionalFormatting sqref="P56">
    <cfRule type="cellIs" dxfId="8048" priority="585" stopIfTrue="1" operator="equal">
      <formula>"INPUT STARTER IN COLUMN D"</formula>
    </cfRule>
  </conditionalFormatting>
  <conditionalFormatting sqref="P57">
    <cfRule type="cellIs" dxfId="8047" priority="584" stopIfTrue="1" operator="equal">
      <formula>"INPUT STARTER IN COLUMN D"</formula>
    </cfRule>
  </conditionalFormatting>
  <conditionalFormatting sqref="P58">
    <cfRule type="cellIs" dxfId="8046" priority="583" stopIfTrue="1" operator="equal">
      <formula>"INPUT STARTER IN COLUMN D"</formula>
    </cfRule>
  </conditionalFormatting>
  <conditionalFormatting sqref="P59">
    <cfRule type="cellIs" dxfId="8045" priority="582" stopIfTrue="1" operator="equal">
      <formula>"INPUT STARTER IN COLUMN D"</formula>
    </cfRule>
  </conditionalFormatting>
  <conditionalFormatting sqref="P60">
    <cfRule type="cellIs" dxfId="8044" priority="581" stopIfTrue="1" operator="equal">
      <formula>"INPUT STARTER IN COLUMN D"</formula>
    </cfRule>
  </conditionalFormatting>
  <conditionalFormatting sqref="P61">
    <cfRule type="cellIs" dxfId="8043" priority="580" stopIfTrue="1" operator="equal">
      <formula>"INPUT STARTER IN COLUMN D"</formula>
    </cfRule>
  </conditionalFormatting>
  <conditionalFormatting sqref="P63">
    <cfRule type="cellIs" dxfId="8042" priority="579" stopIfTrue="1" operator="equal">
      <formula>"INPUT STARTER IN COLUMN D"</formula>
    </cfRule>
  </conditionalFormatting>
  <conditionalFormatting sqref="P64">
    <cfRule type="cellIs" dxfId="8041" priority="578" stopIfTrue="1" operator="equal">
      <formula>"INPUT STARTER IN COLUMN D"</formula>
    </cfRule>
  </conditionalFormatting>
  <conditionalFormatting sqref="P65">
    <cfRule type="cellIs" dxfId="8040" priority="577" stopIfTrue="1" operator="equal">
      <formula>"INPUT STARTER IN COLUMN D"</formula>
    </cfRule>
  </conditionalFormatting>
  <conditionalFormatting sqref="P66">
    <cfRule type="cellIs" dxfId="8039" priority="576" stopIfTrue="1" operator="equal">
      <formula>"INPUT STARTER IN COLUMN D"</formula>
    </cfRule>
  </conditionalFormatting>
  <conditionalFormatting sqref="P67">
    <cfRule type="cellIs" dxfId="8038" priority="575" stopIfTrue="1" operator="equal">
      <formula>"INPUT STARTER IN COLUMN D"</formula>
    </cfRule>
  </conditionalFormatting>
  <conditionalFormatting sqref="P68">
    <cfRule type="cellIs" dxfId="8037" priority="574" stopIfTrue="1" operator="equal">
      <formula>"INPUT STARTER IN COLUMN D"</formula>
    </cfRule>
  </conditionalFormatting>
  <conditionalFormatting sqref="P69">
    <cfRule type="cellIs" dxfId="8036" priority="573" stopIfTrue="1" operator="equal">
      <formula>"INPUT STARTER IN COLUMN D"</formula>
    </cfRule>
  </conditionalFormatting>
  <conditionalFormatting sqref="P71">
    <cfRule type="cellIs" dxfId="8035" priority="572" stopIfTrue="1" operator="equal">
      <formula>"INPUT STARTER IN COLUMN D"</formula>
    </cfRule>
  </conditionalFormatting>
  <conditionalFormatting sqref="P72">
    <cfRule type="cellIs" dxfId="8034" priority="571" stopIfTrue="1" operator="equal">
      <formula>"INPUT STARTER IN COLUMN D"</formula>
    </cfRule>
  </conditionalFormatting>
  <conditionalFormatting sqref="P73">
    <cfRule type="cellIs" dxfId="8033" priority="570" stopIfTrue="1" operator="equal">
      <formula>"INPUT STARTER IN COLUMN D"</formula>
    </cfRule>
  </conditionalFormatting>
  <conditionalFormatting sqref="P74">
    <cfRule type="cellIs" dxfId="8032" priority="569" stopIfTrue="1" operator="equal">
      <formula>"INPUT STARTER IN COLUMN D"</formula>
    </cfRule>
  </conditionalFormatting>
  <conditionalFormatting sqref="P75">
    <cfRule type="cellIs" dxfId="8031" priority="568" stopIfTrue="1" operator="equal">
      <formula>"INPUT STARTER IN COLUMN D"</formula>
    </cfRule>
  </conditionalFormatting>
  <conditionalFormatting sqref="P76">
    <cfRule type="cellIs" dxfId="8030" priority="567" stopIfTrue="1" operator="equal">
      <formula>"INPUT STARTER IN COLUMN D"</formula>
    </cfRule>
  </conditionalFormatting>
  <conditionalFormatting sqref="P77">
    <cfRule type="cellIs" dxfId="8029" priority="566" stopIfTrue="1" operator="equal">
      <formula>"INPUT STARTER IN COLUMN D"</formula>
    </cfRule>
  </conditionalFormatting>
  <conditionalFormatting sqref="P78">
    <cfRule type="cellIs" dxfId="8028" priority="565" stopIfTrue="1" operator="equal">
      <formula>"INPUT STARTER IN COLUMN D"</formula>
    </cfRule>
  </conditionalFormatting>
  <conditionalFormatting sqref="P79">
    <cfRule type="cellIs" dxfId="8027" priority="564" stopIfTrue="1" operator="equal">
      <formula>"INPUT STARTER IN COLUMN D"</formula>
    </cfRule>
  </conditionalFormatting>
  <conditionalFormatting sqref="P80">
    <cfRule type="cellIs" dxfId="8026" priority="563" stopIfTrue="1" operator="equal">
      <formula>"INPUT STARTER IN COLUMN D"</formula>
    </cfRule>
  </conditionalFormatting>
  <conditionalFormatting sqref="P81">
    <cfRule type="cellIs" dxfId="8025" priority="562" stopIfTrue="1" operator="equal">
      <formula>"INPUT STARTER IN COLUMN D"</formula>
    </cfRule>
  </conditionalFormatting>
  <conditionalFormatting sqref="P82">
    <cfRule type="cellIs" dxfId="8024" priority="561" stopIfTrue="1" operator="equal">
      <formula>"INPUT STARTER IN COLUMN D"</formula>
    </cfRule>
  </conditionalFormatting>
  <conditionalFormatting sqref="P84">
    <cfRule type="cellIs" dxfId="8023" priority="560" stopIfTrue="1" operator="equal">
      <formula>"INPUT STARTER IN COLUMN D"</formula>
    </cfRule>
  </conditionalFormatting>
  <conditionalFormatting sqref="P85">
    <cfRule type="cellIs" dxfId="8022" priority="559" stopIfTrue="1" operator="equal">
      <formula>"INPUT STARTER IN COLUMN D"</formula>
    </cfRule>
  </conditionalFormatting>
  <conditionalFormatting sqref="P86">
    <cfRule type="cellIs" dxfId="8021" priority="558" stopIfTrue="1" operator="equal">
      <formula>"INPUT STARTER IN COLUMN D"</formula>
    </cfRule>
  </conditionalFormatting>
  <conditionalFormatting sqref="P87">
    <cfRule type="cellIs" dxfId="8020" priority="557" stopIfTrue="1" operator="equal">
      <formula>"INPUT STARTER IN COLUMN D"</formula>
    </cfRule>
  </conditionalFormatting>
  <conditionalFormatting sqref="P88">
    <cfRule type="cellIs" dxfId="8019" priority="556" stopIfTrue="1" operator="equal">
      <formula>"INPUT STARTER IN COLUMN D"</formula>
    </cfRule>
  </conditionalFormatting>
  <conditionalFormatting sqref="P89">
    <cfRule type="cellIs" dxfId="8018" priority="555" stopIfTrue="1" operator="equal">
      <formula>"INPUT STARTER IN COLUMN D"</formula>
    </cfRule>
  </conditionalFormatting>
  <conditionalFormatting sqref="P91">
    <cfRule type="cellIs" dxfId="8017" priority="554" stopIfTrue="1" operator="equal">
      <formula>"INPUT STARTER IN COLUMN D"</formula>
    </cfRule>
  </conditionalFormatting>
  <conditionalFormatting sqref="P92">
    <cfRule type="cellIs" dxfId="8016" priority="553" stopIfTrue="1" operator="equal">
      <formula>"INPUT STARTER IN COLUMN D"</formula>
    </cfRule>
  </conditionalFormatting>
  <conditionalFormatting sqref="P93">
    <cfRule type="cellIs" dxfId="8015" priority="552" stopIfTrue="1" operator="equal">
      <formula>"INPUT STARTER IN COLUMN D"</formula>
    </cfRule>
  </conditionalFormatting>
  <conditionalFormatting sqref="P94">
    <cfRule type="cellIs" dxfId="8014" priority="551" stopIfTrue="1" operator="equal">
      <formula>"INPUT STARTER IN COLUMN D"</formula>
    </cfRule>
  </conditionalFormatting>
  <conditionalFormatting sqref="P95">
    <cfRule type="cellIs" dxfId="8013" priority="550" stopIfTrue="1" operator="equal">
      <formula>"INPUT STARTER IN COLUMN D"</formula>
    </cfRule>
  </conditionalFormatting>
  <conditionalFormatting sqref="P96">
    <cfRule type="cellIs" dxfId="8012" priority="549" stopIfTrue="1" operator="equal">
      <formula>"INPUT STARTER IN COLUMN D"</formula>
    </cfRule>
  </conditionalFormatting>
  <conditionalFormatting sqref="P97">
    <cfRule type="cellIs" dxfId="8011" priority="548" stopIfTrue="1" operator="equal">
      <formula>"INPUT STARTER IN COLUMN D"</formula>
    </cfRule>
  </conditionalFormatting>
  <conditionalFormatting sqref="P98">
    <cfRule type="cellIs" dxfId="8010" priority="547" stopIfTrue="1" operator="equal">
      <formula>"INPUT STARTER IN COLUMN D"</formula>
    </cfRule>
  </conditionalFormatting>
  <conditionalFormatting sqref="P99">
    <cfRule type="cellIs" dxfId="8009" priority="546" stopIfTrue="1" operator="equal">
      <formula>"INPUT STARTER IN COLUMN D"</formula>
    </cfRule>
  </conditionalFormatting>
  <conditionalFormatting sqref="P100">
    <cfRule type="cellIs" dxfId="8008" priority="545" stopIfTrue="1" operator="equal">
      <formula>"INPUT STARTER IN COLUMN D"</formula>
    </cfRule>
  </conditionalFormatting>
  <conditionalFormatting sqref="P101">
    <cfRule type="cellIs" dxfId="8007" priority="544" stopIfTrue="1" operator="equal">
      <formula>"INPUT STARTER IN COLUMN D"</formula>
    </cfRule>
  </conditionalFormatting>
  <conditionalFormatting sqref="P102">
    <cfRule type="cellIs" dxfId="8006" priority="543" stopIfTrue="1" operator="equal">
      <formula>"INPUT STARTER IN COLUMN D"</formula>
    </cfRule>
  </conditionalFormatting>
  <conditionalFormatting sqref="P106">
    <cfRule type="cellIs" dxfId="8005" priority="542" stopIfTrue="1" operator="equal">
      <formula>"INPUT STARTER IN COLUMN D"</formula>
    </cfRule>
  </conditionalFormatting>
  <conditionalFormatting sqref="P107">
    <cfRule type="cellIs" dxfId="8004" priority="541" stopIfTrue="1" operator="equal">
      <formula>"INPUT STARTER IN COLUMN D"</formula>
    </cfRule>
  </conditionalFormatting>
  <conditionalFormatting sqref="P108">
    <cfRule type="cellIs" dxfId="8003" priority="540" stopIfTrue="1" operator="equal">
      <formula>"INPUT STARTER IN COLUMN D"</formula>
    </cfRule>
  </conditionalFormatting>
  <conditionalFormatting sqref="P109">
    <cfRule type="cellIs" dxfId="8002" priority="539" stopIfTrue="1" operator="equal">
      <formula>"INPUT STARTER IN COLUMN D"</formula>
    </cfRule>
  </conditionalFormatting>
  <conditionalFormatting sqref="P110">
    <cfRule type="cellIs" dxfId="8001" priority="538" stopIfTrue="1" operator="equal">
      <formula>"INPUT STARTER IN COLUMN D"</formula>
    </cfRule>
  </conditionalFormatting>
  <conditionalFormatting sqref="P111">
    <cfRule type="cellIs" dxfId="8000" priority="537" stopIfTrue="1" operator="equal">
      <formula>"INPUT STARTER IN COLUMN D"</formula>
    </cfRule>
  </conditionalFormatting>
  <conditionalFormatting sqref="P112">
    <cfRule type="cellIs" dxfId="7999" priority="536" stopIfTrue="1" operator="equal">
      <formula>"INPUT STARTER IN COLUMN D"</formula>
    </cfRule>
  </conditionalFormatting>
  <conditionalFormatting sqref="P113">
    <cfRule type="cellIs" dxfId="7998" priority="535" stopIfTrue="1" operator="equal">
      <formula>"INPUT STARTER IN COLUMN D"</formula>
    </cfRule>
  </conditionalFormatting>
  <conditionalFormatting sqref="P114">
    <cfRule type="cellIs" dxfId="7997" priority="534" stopIfTrue="1" operator="equal">
      <formula>"INPUT STARTER IN COLUMN D"</formula>
    </cfRule>
  </conditionalFormatting>
  <conditionalFormatting sqref="P115">
    <cfRule type="cellIs" dxfId="7996" priority="533" stopIfTrue="1" operator="equal">
      <formula>"INPUT STARTER IN COLUMN D"</formula>
    </cfRule>
  </conditionalFormatting>
  <conditionalFormatting sqref="P116">
    <cfRule type="cellIs" dxfId="7995" priority="532" stopIfTrue="1" operator="equal">
      <formula>"INPUT STARTER IN COLUMN D"</formula>
    </cfRule>
  </conditionalFormatting>
  <conditionalFormatting sqref="P117">
    <cfRule type="cellIs" dxfId="7994" priority="531" stopIfTrue="1" operator="equal">
      <formula>"INPUT STARTER IN COLUMN D"</formula>
    </cfRule>
  </conditionalFormatting>
  <conditionalFormatting sqref="P118">
    <cfRule type="cellIs" dxfId="7993" priority="530" stopIfTrue="1" operator="equal">
      <formula>"INPUT STARTER IN COLUMN D"</formula>
    </cfRule>
  </conditionalFormatting>
  <conditionalFormatting sqref="P119">
    <cfRule type="cellIs" dxfId="7992" priority="529" stopIfTrue="1" operator="equal">
      <formula>"INPUT STARTER IN COLUMN D"</formula>
    </cfRule>
  </conditionalFormatting>
  <conditionalFormatting sqref="P120">
    <cfRule type="cellIs" dxfId="7991" priority="528" stopIfTrue="1" operator="equal">
      <formula>"INPUT STARTER IN COLUMN D"</formula>
    </cfRule>
  </conditionalFormatting>
  <conditionalFormatting sqref="P121">
    <cfRule type="cellIs" dxfId="7990" priority="527" stopIfTrue="1" operator="equal">
      <formula>"INPUT STARTER IN COLUMN D"</formula>
    </cfRule>
  </conditionalFormatting>
  <conditionalFormatting sqref="P122">
    <cfRule type="cellIs" dxfId="7989" priority="526" stopIfTrue="1" operator="equal">
      <formula>"INPUT STARTER IN COLUMN D"</formula>
    </cfRule>
  </conditionalFormatting>
  <conditionalFormatting sqref="P123">
    <cfRule type="cellIs" dxfId="7988" priority="525" stopIfTrue="1" operator="equal">
      <formula>"INPUT STARTER IN COLUMN D"</formula>
    </cfRule>
  </conditionalFormatting>
  <conditionalFormatting sqref="P125">
    <cfRule type="cellIs" dxfId="7987" priority="524" stopIfTrue="1" operator="equal">
      <formula>"INPUT STARTER IN COLUMN D"</formula>
    </cfRule>
  </conditionalFormatting>
  <conditionalFormatting sqref="P126">
    <cfRule type="cellIs" dxfId="7986" priority="523" stopIfTrue="1" operator="equal">
      <formula>"INPUT STARTER IN COLUMN D"</formula>
    </cfRule>
  </conditionalFormatting>
  <conditionalFormatting sqref="P127">
    <cfRule type="cellIs" dxfId="7985" priority="522" stopIfTrue="1" operator="equal">
      <formula>"INPUT STARTER IN COLUMN D"</formula>
    </cfRule>
  </conditionalFormatting>
  <conditionalFormatting sqref="P128">
    <cfRule type="cellIs" dxfId="7984" priority="521" stopIfTrue="1" operator="equal">
      <formula>"INPUT STARTER IN COLUMN D"</formula>
    </cfRule>
  </conditionalFormatting>
  <conditionalFormatting sqref="P129">
    <cfRule type="cellIs" dxfId="7983" priority="520" stopIfTrue="1" operator="equal">
      <formula>"INPUT STARTER IN COLUMN D"</formula>
    </cfRule>
  </conditionalFormatting>
  <conditionalFormatting sqref="P130">
    <cfRule type="cellIs" dxfId="7982" priority="519" stopIfTrue="1" operator="equal">
      <formula>"INPUT STARTER IN COLUMN D"</formula>
    </cfRule>
  </conditionalFormatting>
  <conditionalFormatting sqref="P131">
    <cfRule type="cellIs" dxfId="7981" priority="518" stopIfTrue="1" operator="equal">
      <formula>"INPUT STARTER IN COLUMN D"</formula>
    </cfRule>
  </conditionalFormatting>
  <conditionalFormatting sqref="P132">
    <cfRule type="cellIs" dxfId="7980" priority="517" stopIfTrue="1" operator="equal">
      <formula>"INPUT STARTER IN COLUMN D"</formula>
    </cfRule>
  </conditionalFormatting>
  <conditionalFormatting sqref="P133">
    <cfRule type="cellIs" dxfId="7979" priority="516" stopIfTrue="1" operator="equal">
      <formula>"INPUT STARTER IN COLUMN D"</formula>
    </cfRule>
  </conditionalFormatting>
  <conditionalFormatting sqref="P134">
    <cfRule type="cellIs" dxfId="7978" priority="515" stopIfTrue="1" operator="equal">
      <formula>"INPUT STARTER IN COLUMN D"</formula>
    </cfRule>
  </conditionalFormatting>
  <conditionalFormatting sqref="P135">
    <cfRule type="cellIs" dxfId="7977" priority="514" stopIfTrue="1" operator="equal">
      <formula>"INPUT STARTER IN COLUMN D"</formula>
    </cfRule>
  </conditionalFormatting>
  <conditionalFormatting sqref="P136">
    <cfRule type="cellIs" dxfId="7976" priority="513" stopIfTrue="1" operator="equal">
      <formula>"INPUT STARTER IN COLUMN D"</formula>
    </cfRule>
  </conditionalFormatting>
  <conditionalFormatting sqref="P137">
    <cfRule type="cellIs" dxfId="7975" priority="512" stopIfTrue="1" operator="equal">
      <formula>"INPUT STARTER IN COLUMN D"</formula>
    </cfRule>
  </conditionalFormatting>
  <conditionalFormatting sqref="P139">
    <cfRule type="cellIs" dxfId="7974" priority="511" stopIfTrue="1" operator="equal">
      <formula>"INPUT STARTER IN COLUMN D"</formula>
    </cfRule>
  </conditionalFormatting>
  <conditionalFormatting sqref="P140">
    <cfRule type="cellIs" dxfId="7973" priority="510" stopIfTrue="1" operator="equal">
      <formula>"INPUT STARTER IN COLUMN D"</formula>
    </cfRule>
  </conditionalFormatting>
  <conditionalFormatting sqref="P141">
    <cfRule type="cellIs" dxfId="7972" priority="509" stopIfTrue="1" operator="equal">
      <formula>"INPUT STARTER IN COLUMN D"</formula>
    </cfRule>
  </conditionalFormatting>
  <conditionalFormatting sqref="P142">
    <cfRule type="cellIs" dxfId="7971" priority="508" stopIfTrue="1" operator="equal">
      <formula>"INPUT STARTER IN COLUMN D"</formula>
    </cfRule>
  </conditionalFormatting>
  <conditionalFormatting sqref="P143">
    <cfRule type="cellIs" dxfId="7970" priority="507" stopIfTrue="1" operator="equal">
      <formula>"INPUT STARTER IN COLUMN D"</formula>
    </cfRule>
  </conditionalFormatting>
  <conditionalFormatting sqref="P144">
    <cfRule type="cellIs" dxfId="7969" priority="506" stopIfTrue="1" operator="equal">
      <formula>"INPUT STARTER IN COLUMN D"</formula>
    </cfRule>
  </conditionalFormatting>
  <conditionalFormatting sqref="P145">
    <cfRule type="cellIs" dxfId="7968" priority="505" stopIfTrue="1" operator="equal">
      <formula>"INPUT STARTER IN COLUMN D"</formula>
    </cfRule>
  </conditionalFormatting>
  <conditionalFormatting sqref="P146">
    <cfRule type="cellIs" dxfId="7967" priority="504" stopIfTrue="1" operator="equal">
      <formula>"INPUT STARTER IN COLUMN D"</formula>
    </cfRule>
  </conditionalFormatting>
  <conditionalFormatting sqref="P147">
    <cfRule type="cellIs" dxfId="7966" priority="503" stopIfTrue="1" operator="equal">
      <formula>"INPUT STARTER IN COLUMN D"</formula>
    </cfRule>
  </conditionalFormatting>
  <conditionalFormatting sqref="P148">
    <cfRule type="cellIs" dxfId="7965" priority="502" stopIfTrue="1" operator="equal">
      <formula>"INPUT STARTER IN COLUMN D"</formula>
    </cfRule>
  </conditionalFormatting>
  <conditionalFormatting sqref="P149">
    <cfRule type="cellIs" dxfId="7964" priority="501" stopIfTrue="1" operator="equal">
      <formula>"INPUT STARTER IN COLUMN D"</formula>
    </cfRule>
  </conditionalFormatting>
  <conditionalFormatting sqref="P150">
    <cfRule type="cellIs" dxfId="7963" priority="500" stopIfTrue="1" operator="equal">
      <formula>"INPUT STARTER IN COLUMN D"</formula>
    </cfRule>
  </conditionalFormatting>
  <conditionalFormatting sqref="P151">
    <cfRule type="cellIs" dxfId="7962" priority="499" stopIfTrue="1" operator="equal">
      <formula>"INPUT STARTER IN COLUMN D"</formula>
    </cfRule>
  </conditionalFormatting>
  <conditionalFormatting sqref="P152">
    <cfRule type="cellIs" dxfId="7961" priority="498" stopIfTrue="1" operator="equal">
      <formula>"INPUT STARTER IN COLUMN D"</formula>
    </cfRule>
  </conditionalFormatting>
  <conditionalFormatting sqref="P153">
    <cfRule type="cellIs" dxfId="7960" priority="497" stopIfTrue="1" operator="equal">
      <formula>"INPUT STARTER IN COLUMN D"</formula>
    </cfRule>
  </conditionalFormatting>
  <conditionalFormatting sqref="P154">
    <cfRule type="cellIs" dxfId="7959" priority="496" stopIfTrue="1" operator="equal">
      <formula>"INPUT STARTER IN COLUMN D"</formula>
    </cfRule>
  </conditionalFormatting>
  <conditionalFormatting sqref="P155">
    <cfRule type="cellIs" dxfId="7958" priority="495" stopIfTrue="1" operator="equal">
      <formula>"INPUT STARTER IN COLUMN D"</formula>
    </cfRule>
  </conditionalFormatting>
  <conditionalFormatting sqref="P157">
    <cfRule type="cellIs" dxfId="7957" priority="494" stopIfTrue="1" operator="equal">
      <formula>"INPUT STARTER IN COLUMN D"</formula>
    </cfRule>
  </conditionalFormatting>
  <conditionalFormatting sqref="P158">
    <cfRule type="cellIs" dxfId="7956" priority="493" stopIfTrue="1" operator="equal">
      <formula>"INPUT STARTER IN COLUMN D"</formula>
    </cfRule>
  </conditionalFormatting>
  <conditionalFormatting sqref="P159">
    <cfRule type="cellIs" dxfId="7955" priority="492" stopIfTrue="1" operator="equal">
      <formula>"INPUT STARTER IN COLUMN D"</formula>
    </cfRule>
  </conditionalFormatting>
  <conditionalFormatting sqref="P160">
    <cfRule type="cellIs" dxfId="7954" priority="491" stopIfTrue="1" operator="equal">
      <formula>"INPUT STARTER IN COLUMN D"</formula>
    </cfRule>
  </conditionalFormatting>
  <conditionalFormatting sqref="P161">
    <cfRule type="cellIs" dxfId="7953" priority="490" stopIfTrue="1" operator="equal">
      <formula>"INPUT STARTER IN COLUMN D"</formula>
    </cfRule>
  </conditionalFormatting>
  <conditionalFormatting sqref="P162">
    <cfRule type="cellIs" dxfId="7952" priority="489" stopIfTrue="1" operator="equal">
      <formula>"INPUT STARTER IN COLUMN D"</formula>
    </cfRule>
  </conditionalFormatting>
  <conditionalFormatting sqref="P163">
    <cfRule type="cellIs" dxfId="7951" priority="488" stopIfTrue="1" operator="equal">
      <formula>"INPUT STARTER IN COLUMN D"</formula>
    </cfRule>
  </conditionalFormatting>
  <conditionalFormatting sqref="P165">
    <cfRule type="cellIs" dxfId="7950" priority="487" stopIfTrue="1" operator="equal">
      <formula>"INPUT STARTER IN COLUMN D"</formula>
    </cfRule>
  </conditionalFormatting>
  <conditionalFormatting sqref="P166">
    <cfRule type="cellIs" dxfId="7949" priority="486" stopIfTrue="1" operator="equal">
      <formula>"INPUT STARTER IN COLUMN D"</formula>
    </cfRule>
  </conditionalFormatting>
  <conditionalFormatting sqref="P167">
    <cfRule type="cellIs" dxfId="7948" priority="485" stopIfTrue="1" operator="equal">
      <formula>"INPUT STARTER IN COLUMN D"</formula>
    </cfRule>
  </conditionalFormatting>
  <conditionalFormatting sqref="P168">
    <cfRule type="cellIs" dxfId="7947" priority="484" stopIfTrue="1" operator="equal">
      <formula>"INPUT STARTER IN COLUMN D"</formula>
    </cfRule>
  </conditionalFormatting>
  <conditionalFormatting sqref="P169">
    <cfRule type="cellIs" dxfId="7946" priority="483" stopIfTrue="1" operator="equal">
      <formula>"INPUT STARTER IN COLUMN D"</formula>
    </cfRule>
  </conditionalFormatting>
  <conditionalFormatting sqref="P170">
    <cfRule type="cellIs" dxfId="7945" priority="482" stopIfTrue="1" operator="equal">
      <formula>"INPUT STARTER IN COLUMN D"</formula>
    </cfRule>
  </conditionalFormatting>
  <conditionalFormatting sqref="P171">
    <cfRule type="cellIs" dxfId="7944" priority="481" stopIfTrue="1" operator="equal">
      <formula>"INPUT STARTER IN COLUMN D"</formula>
    </cfRule>
  </conditionalFormatting>
  <conditionalFormatting sqref="P172">
    <cfRule type="cellIs" dxfId="7943" priority="480" stopIfTrue="1" operator="equal">
      <formula>"INPUT STARTER IN COLUMN D"</formula>
    </cfRule>
  </conditionalFormatting>
  <conditionalFormatting sqref="P173">
    <cfRule type="cellIs" dxfId="7942" priority="479" stopIfTrue="1" operator="equal">
      <formula>"INPUT STARTER IN COLUMN D"</formula>
    </cfRule>
  </conditionalFormatting>
  <conditionalFormatting sqref="P174">
    <cfRule type="cellIs" dxfId="7941" priority="478" stopIfTrue="1" operator="equal">
      <formula>"INPUT STARTER IN COLUMN D"</formula>
    </cfRule>
  </conditionalFormatting>
  <conditionalFormatting sqref="P176">
    <cfRule type="cellIs" dxfId="7940" priority="477" stopIfTrue="1" operator="equal">
      <formula>"INPUT STARTER IN COLUMN D"</formula>
    </cfRule>
  </conditionalFormatting>
  <conditionalFormatting sqref="P177">
    <cfRule type="cellIs" dxfId="7939" priority="476" stopIfTrue="1" operator="equal">
      <formula>"INPUT STARTER IN COLUMN D"</formula>
    </cfRule>
  </conditionalFormatting>
  <conditionalFormatting sqref="P178">
    <cfRule type="cellIs" dxfId="7938" priority="475" stopIfTrue="1" operator="equal">
      <formula>"INPUT STARTER IN COLUMN D"</formula>
    </cfRule>
  </conditionalFormatting>
  <conditionalFormatting sqref="P179">
    <cfRule type="cellIs" dxfId="7937" priority="474" stopIfTrue="1" operator="equal">
      <formula>"INPUT STARTER IN COLUMN D"</formula>
    </cfRule>
  </conditionalFormatting>
  <conditionalFormatting sqref="P180">
    <cfRule type="cellIs" dxfId="7936" priority="473" stopIfTrue="1" operator="equal">
      <formula>"INPUT STARTER IN COLUMN D"</formula>
    </cfRule>
  </conditionalFormatting>
  <conditionalFormatting sqref="P181">
    <cfRule type="cellIs" dxfId="7935" priority="472" stopIfTrue="1" operator="equal">
      <formula>"INPUT STARTER IN COLUMN D"</formula>
    </cfRule>
  </conditionalFormatting>
  <conditionalFormatting sqref="P182">
    <cfRule type="cellIs" dxfId="7934" priority="471" stopIfTrue="1" operator="equal">
      <formula>"INPUT STARTER IN COLUMN D"</formula>
    </cfRule>
  </conditionalFormatting>
  <conditionalFormatting sqref="P183">
    <cfRule type="cellIs" dxfId="7933" priority="470" stopIfTrue="1" operator="equal">
      <formula>"INPUT STARTER IN COLUMN D"</formula>
    </cfRule>
  </conditionalFormatting>
  <conditionalFormatting sqref="P184">
    <cfRule type="cellIs" dxfId="7932" priority="469" stopIfTrue="1" operator="equal">
      <formula>"INPUT STARTER IN COLUMN D"</formula>
    </cfRule>
  </conditionalFormatting>
  <conditionalFormatting sqref="P185">
    <cfRule type="cellIs" dxfId="7931" priority="468" stopIfTrue="1" operator="equal">
      <formula>"INPUT STARTER IN COLUMN D"</formula>
    </cfRule>
  </conditionalFormatting>
  <conditionalFormatting sqref="AK3:AK22">
    <cfRule type="cellIs" dxfId="7930" priority="467" stopIfTrue="1" operator="equal">
      <formula>"must average at least 5 innings per start"</formula>
    </cfRule>
  </conditionalFormatting>
  <conditionalFormatting sqref="AK23">
    <cfRule type="cellIs" dxfId="7929" priority="466" stopIfTrue="1" operator="equal">
      <formula>"must have 162 starts"</formula>
    </cfRule>
  </conditionalFormatting>
  <conditionalFormatting sqref="AK3:AK22">
    <cfRule type="cellIs" dxfId="7928" priority="465" stopIfTrue="1" operator="equal">
      <formula>"must average at least 5 innings per start"</formula>
    </cfRule>
  </conditionalFormatting>
  <conditionalFormatting sqref="AK23">
    <cfRule type="cellIs" dxfId="7927" priority="464" stopIfTrue="1" operator="equal">
      <formula>"must have 162 starts"</formula>
    </cfRule>
  </conditionalFormatting>
  <conditionalFormatting sqref="AK3:AK22">
    <cfRule type="cellIs" dxfId="7926" priority="463" stopIfTrue="1" operator="equal">
      <formula>"must average at least 5 innings per start"</formula>
    </cfRule>
  </conditionalFormatting>
  <conditionalFormatting sqref="AK23">
    <cfRule type="cellIs" dxfId="7925" priority="462" stopIfTrue="1" operator="equal">
      <formula>"must have 162 starts"</formula>
    </cfRule>
  </conditionalFormatting>
  <conditionalFormatting sqref="AG3:AG22">
    <cfRule type="cellIs" dxfId="7924" priority="461" stopIfTrue="1" operator="equal">
      <formula>"must average at least 5 innings per start"</formula>
    </cfRule>
  </conditionalFormatting>
  <conditionalFormatting sqref="AG23">
    <cfRule type="cellIs" dxfId="7923" priority="460" stopIfTrue="1" operator="equal">
      <formula>"must have 162 starts"</formula>
    </cfRule>
  </conditionalFormatting>
  <conditionalFormatting sqref="AK3:AK22">
    <cfRule type="cellIs" dxfId="7922" priority="459" stopIfTrue="1" operator="equal">
      <formula>"must average at least 5 innings per start"</formula>
    </cfRule>
  </conditionalFormatting>
  <conditionalFormatting sqref="AK23">
    <cfRule type="cellIs" dxfId="7921" priority="458" stopIfTrue="1" operator="equal">
      <formula>"must have 162 starts"</formula>
    </cfRule>
  </conditionalFormatting>
  <conditionalFormatting sqref="AG3:AG22">
    <cfRule type="cellIs" dxfId="7920" priority="457" stopIfTrue="1" operator="equal">
      <formula>"must average at least 5 innings per start"</formula>
    </cfRule>
  </conditionalFormatting>
  <conditionalFormatting sqref="AG23">
    <cfRule type="cellIs" dxfId="7919" priority="456" stopIfTrue="1" operator="equal">
      <formula>"must have 162 starts"</formula>
    </cfRule>
  </conditionalFormatting>
  <conditionalFormatting sqref="Q2">
    <cfRule type="cellIs" dxfId="7918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1" right="0.25" top="1" bottom="0.5" header="0.5" footer="0.5"/>
  <pageSetup orientation="portrait" horizontalDpi="300" verticalDpi="300" r:id="rId6"/>
  <headerFooter alignWithMargins="0">
    <oddHeader>&amp;A</oddHeader>
  </headerFooter>
  <webPublishItems count="3">
    <webPublishItem id="25676" divId="ROTcheck_25676" sourceType="sheet" destinationFile="C:\1kading\schedule\skedatl.html"/>
    <webPublishItem id="9202" divId="ROTcheck_9202" sourceType="range" sourceRef="A1:O193" destinationFile="C:\1kading\schedule\rostbcb.html"/>
    <webPublishItem id="17555" divId="ROTcheck_17555" sourceType="range" sourceRef="A156:O193" destinationFile="C:\1kading\schedule\skedatl.html"/>
  </webPublishItems>
</worksheet>
</file>

<file path=xl/worksheets/sheet30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7109375" style="2" customWidth="1"/>
    <col min="2" max="2" width="3.7109375" style="2" customWidth="1"/>
    <col min="3" max="3" width="5.85546875" style="2" customWidth="1"/>
    <col min="4" max="4" width="29.5703125" style="2" customWidth="1"/>
    <col min="5" max="6" width="3.7109375" style="2" customWidth="1"/>
    <col min="7" max="9" width="3.7109375" style="3" customWidth="1"/>
    <col min="10" max="10" width="19.285156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22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5703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52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 t="s">
        <v>32</v>
      </c>
      <c r="C3" s="33" t="s">
        <v>49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40" t="s">
        <v>1392</v>
      </c>
      <c r="T3" s="46" t="str">
        <f>IF(ISERROR((VLOOKUP(S3,Pitchers!$B$1:H$800,4,FALSE))),"",(VLOOKUP(S3,Pitchers!$B$1:H$800,4,FALSE)))</f>
        <v>TOT</v>
      </c>
      <c r="U3" s="45" t="str">
        <f>IF(ISERROR((VLOOKUP(S3,Pitchers!B$2:AA$795,10,FALSE))),"",(VLOOKUP(S3,Pitchers!B$2:AA$795,10,FALSE)))</f>
        <v>L</v>
      </c>
      <c r="V3" s="41"/>
      <c r="W3" s="46">
        <f>IF(ISERROR((VLOOKUP(S3,Pitchers!B$2:AA$795,13,FALSE))),"",(VLOOKUP(S3,Pitchers!B$2:AA$795,13,FALSE)))</f>
        <v>8</v>
      </c>
      <c r="X3" s="47">
        <f>IF(ISERROR((VLOOKUP(S3,Pitchers!B$2:AA$795,11,FALSE))),"",(VLOOKUP(S3,Pitchers!B$2:AA$795,11,FALSE)))</f>
        <v>60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 xml:space="preserve"> 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>L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TUG</v>
      </c>
    </row>
    <row r="4" spans="1:36" ht="12.75" customHeight="1">
      <c r="A4" s="6">
        <v>4.0199999999999996</v>
      </c>
      <c r="B4" s="33" t="s">
        <v>32</v>
      </c>
      <c r="C4" s="33" t="s">
        <v>49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40" t="s">
        <v>703</v>
      </c>
      <c r="T4" s="46" t="str">
        <f>IF(ISERROR((VLOOKUP(S4,Pitchers!$B$1:H$800,4,FALSE))),"",(VLOOKUP(S4,Pitchers!$B$1:H$800,4,FALSE)))</f>
        <v>BOS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7</v>
      </c>
      <c r="X4" s="47">
        <f>IF(ISERROR((VLOOKUP(S4,Pitchers!B$2:AA$795,11,FALSE))),"",(VLOOKUP(S4,Pitchers!B$2:AA$795,11,FALSE)))</f>
        <v>53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 xml:space="preserve"> </v>
      </c>
      <c r="AC4" s="52" t="str">
        <f>IF(ISERROR((VLOOKUP(S4,Pitchers!B$2:AA$795,17,FALSE))),"",(VLOOKUP(S4,Pitchers!B$2:AA$795,17,FALSE)))</f>
        <v>W</v>
      </c>
      <c r="AD4" s="53" t="str">
        <f>IF(ISERROR((VLOOKUP(S4,Pitchers!B$2:AA$795,18,FALSE))),"",(VLOOKUP(S4,Pitchers!B$2:AA$795,18,FALSE)))</f>
        <v>L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TUG</v>
      </c>
    </row>
    <row r="5" spans="1:36" ht="12.75" customHeight="1">
      <c r="A5" s="6">
        <v>4.03</v>
      </c>
      <c r="B5" s="33" t="s">
        <v>32</v>
      </c>
      <c r="C5" s="33" t="s">
        <v>49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40" t="s">
        <v>1796</v>
      </c>
      <c r="T5" s="46" t="str">
        <f>IF(ISERROR((VLOOKUP(S5,Pitchers!$B$1:H$800,4,FALSE))),"",(VLOOKUP(S5,Pitchers!$B$1:H$800,4,FALSE)))</f>
        <v>BOS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6</v>
      </c>
      <c r="X5" s="47">
        <f>IF(ISERROR((VLOOKUP(S5,Pitchers!B$2:AA$795,11,FALSE))),"",(VLOOKUP(S5,Pitchers!B$2:AA$795,11,FALSE)))</f>
        <v>63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>W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TUG</v>
      </c>
    </row>
    <row r="6" spans="1:36" ht="12.75" customHeight="1">
      <c r="A6" s="6">
        <v>4.04</v>
      </c>
      <c r="B6" s="33" t="s">
        <v>32</v>
      </c>
      <c r="C6" s="33" t="s">
        <v>49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40" t="s">
        <v>628</v>
      </c>
      <c r="T6" s="46" t="str">
        <f>IF(ISERROR((VLOOKUP(S6,Pitchers!$B$1:H$800,4,FALSE))),"",(VLOOKUP(S6,Pitchers!$B$1:H$800,4,FALSE)))</f>
        <v>LAA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4</v>
      </c>
      <c r="X6" s="47">
        <f>IF(ISERROR((VLOOKUP(S6,Pitchers!B$2:AA$795,11,FALSE))),"",(VLOOKUP(S6,Pitchers!B$2:AA$795,11,FALSE)))</f>
        <v>135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>L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TUG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40" t="s">
        <v>567</v>
      </c>
      <c r="T7" s="46" t="str">
        <f>IF(ISERROR((VLOOKUP(S7,Pitchers!$B$1:H$800,4,FALSE))),"",(VLOOKUP(S7,Pitchers!$B$1:H$800,4,FALSE)))</f>
        <v>MIA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4</v>
      </c>
      <c r="X7" s="47">
        <f>IF(ISERROR((VLOOKUP(S7,Pitchers!B$2:AA$795,11,FALSE))),"",(VLOOKUP(S7,Pitchers!B$2:AA$795,11,FALSE)))</f>
        <v>107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41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40" t="s">
        <v>222</v>
      </c>
      <c r="T8" s="46" t="str">
        <f>IF(ISERROR((VLOOKUP(S8,Pitchers!$B$1:H$800,4,FALSE))),"",(VLOOKUP(S8,Pitchers!$B$1:H$800,4,FALSE)))</f>
        <v>CIN</v>
      </c>
      <c r="U8" s="45" t="str">
        <f>IF(ISERROR((VLOOKUP(S8,Pitchers!B$2:AA$795,10,FALSE))),"",(VLOOKUP(S8,Pitchers!B$2:AA$795,10,FALSE)))</f>
        <v>L</v>
      </c>
      <c r="V8" s="41"/>
      <c r="W8" s="46">
        <f>IF(ISERROR((VLOOKUP(S8,Pitchers!B$2:AA$795,13,FALSE))),"",(VLOOKUP(S8,Pitchers!B$2:AA$795,13,FALSE)))</f>
        <v>4</v>
      </c>
      <c r="X8" s="47">
        <f>IF(ISERROR((VLOOKUP(S8,Pitchers!B$2:AA$795,11,FALSE))),"",(VLOOKUP(S8,Pitchers!B$2:AA$795,11,FALSE)))</f>
        <v>5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>X</v>
      </c>
      <c r="AC8" s="52" t="str">
        <f>IF(ISERROR((VLOOKUP(S8,Pitchers!B$2:AA$795,17,FALSE))),"",(VLOOKUP(S8,Pitchers!B$2:AA$795,17,FALSE)))</f>
        <v>W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TUG</v>
      </c>
    </row>
    <row r="9" spans="1:36" ht="12.75">
      <c r="A9" s="6">
        <v>4.07</v>
      </c>
      <c r="B9" s="33"/>
      <c r="C9" s="33" t="s">
        <v>41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40" t="s">
        <v>1281</v>
      </c>
      <c r="T9" s="46" t="str">
        <f>IF(ISERROR((VLOOKUP(S9,Pitchers!$B$1:H$800,4,FALSE))),"",(VLOOKUP(S9,Pitchers!$B$1:H$800,4,FALSE)))</f>
        <v>BOS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2</v>
      </c>
      <c r="X9" s="47">
        <f>IF(ISERROR((VLOOKUP(S9,Pitchers!B$2:AA$795,11,FALSE))),"",(VLOOKUP(S9,Pitchers!B$2:AA$795,11,FALSE)))</f>
        <v>200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Y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M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TUG</v>
      </c>
    </row>
    <row r="10" spans="1:36" ht="12.75">
      <c r="A10" s="6">
        <v>4.08</v>
      </c>
      <c r="B10" s="33"/>
      <c r="C10" s="33" t="s">
        <v>41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40" t="s">
        <v>195</v>
      </c>
      <c r="T10" s="46" t="str">
        <f>IF(ISERROR((VLOOKUP(S10,Pitchers!$B$1:H$800,4,FALSE))),"",(VLOOKUP(S10,Pitchers!$B$1:H$800,4,FALSE)))</f>
        <v>TOT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2</v>
      </c>
      <c r="X10" s="47">
        <f>IF(ISERROR((VLOOKUP(S10,Pitchers!B$2:AA$795,11,FALSE))),"",(VLOOKUP(S10,Pitchers!B$2:AA$795,11,FALSE)))</f>
        <v>200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Y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TUG</v>
      </c>
    </row>
    <row r="11" spans="1:36" ht="12.75">
      <c r="A11" s="6">
        <v>4.09</v>
      </c>
      <c r="B11" s="33"/>
      <c r="C11" s="33" t="s">
        <v>41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87" t="s">
        <v>1876</v>
      </c>
      <c r="T11" s="46" t="str">
        <f>IF(ISERROR((VLOOKUP(S11,Pitchers!$B$1:H$800,4,FALSE))),"",(VLOOKUP(S11,Pitchers!$B$1:H$800,4,FALSE)))</f>
        <v>MIA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2</v>
      </c>
      <c r="X11" s="47">
        <f>IF(ISERROR((VLOOKUP(S11,Pitchers!B$2:AA$795,11,FALSE))),"",(VLOOKUP(S11,Pitchers!B$2:AA$795,11,FALSE)))</f>
        <v>200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 xml:space="preserve"> </v>
      </c>
      <c r="AD11" s="53" t="str">
        <f>IF(ISERROR((VLOOKUP(S11,Pitchers!B$2:AA$795,18,FALSE))),"",(VLOOKUP(S11,Pitchers!B$2:AA$795,18,FALSE)))</f>
        <v xml:space="preserve"> 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TUG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80" t="s">
        <v>423</v>
      </c>
      <c r="T12" s="46" t="str">
        <f>IF(ISERROR((VLOOKUP(S12,Pitchers!$B$1:H$800,4,FALSE))),"",(VLOOKUP(S12,Pitchers!$B$1:H$800,4,FALSE)))</f>
        <v>WSN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2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 xml:space="preserve"> </v>
      </c>
      <c r="AD12" s="53" t="str">
        <f>IF(ISERROR((VLOOKUP(S12,Pitchers!B$2:AA$795,18,FALSE))),"",(VLOOKUP(S12,Pitchers!B$2:AA$795,18,FALSE)))</f>
        <v>H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2" t="s">
        <v>32</v>
      </c>
      <c r="C13" s="33" t="s">
        <v>35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TUG</v>
      </c>
    </row>
    <row r="14" spans="1:36" ht="12.75">
      <c r="A14" s="6">
        <v>4.12</v>
      </c>
      <c r="B14" s="32" t="s">
        <v>32</v>
      </c>
      <c r="C14" s="33" t="s">
        <v>35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TUG</v>
      </c>
    </row>
    <row r="15" spans="1:36" ht="12.75">
      <c r="A15" s="6">
        <v>4.13</v>
      </c>
      <c r="B15" s="32" t="s">
        <v>32</v>
      </c>
      <c r="C15" s="33" t="s">
        <v>35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TUG</v>
      </c>
    </row>
    <row r="16" spans="1:36" ht="12.75">
      <c r="A16" s="6">
        <v>4.1399999999999997</v>
      </c>
      <c r="B16" s="32" t="s">
        <v>32</v>
      </c>
      <c r="C16" s="33" t="s">
        <v>35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TUG</v>
      </c>
    </row>
    <row r="17" spans="1:36" ht="12.75">
      <c r="A17" s="6">
        <v>4.1500000000000004</v>
      </c>
      <c r="B17" s="32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76" t="s">
        <v>1918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TUG</v>
      </c>
    </row>
    <row r="19" spans="1:36" ht="12.75">
      <c r="A19" s="6">
        <v>4.17</v>
      </c>
      <c r="B19" s="33" t="s">
        <v>32</v>
      </c>
      <c r="C19" s="76" t="s">
        <v>1918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TUG</v>
      </c>
    </row>
    <row r="20" spans="1:36" ht="12.75">
      <c r="A20" s="6">
        <v>4.18</v>
      </c>
      <c r="B20" s="33" t="s">
        <v>32</v>
      </c>
      <c r="C20" s="76" t="s">
        <v>1918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TUG</v>
      </c>
    </row>
    <row r="21" spans="1:36" ht="12.75">
      <c r="A21" s="6">
        <v>4.1900000000000004</v>
      </c>
      <c r="B21" s="33" t="s">
        <v>32</v>
      </c>
      <c r="C21" s="76" t="s">
        <v>1918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TUG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1191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TUG</v>
      </c>
    </row>
    <row r="24" spans="1:36" ht="12.75">
      <c r="A24" s="6">
        <v>4.22</v>
      </c>
      <c r="B24" s="33"/>
      <c r="C24" s="33" t="s">
        <v>1191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TUG</v>
      </c>
    </row>
    <row r="25" spans="1:36" ht="12.75">
      <c r="A25" s="6">
        <v>4.2300000000000004</v>
      </c>
      <c r="B25" s="33"/>
      <c r="C25" s="33" t="s">
        <v>1191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TUG</v>
      </c>
    </row>
    <row r="26" spans="1:36" ht="12.75">
      <c r="A26" s="6">
        <v>4.24</v>
      </c>
      <c r="B26" s="33"/>
      <c r="C26" s="33" t="s">
        <v>1191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TUG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2" t="s">
        <v>32</v>
      </c>
      <c r="C28" s="33" t="s">
        <v>15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TUG</v>
      </c>
    </row>
    <row r="29" spans="1:36" ht="12.75">
      <c r="A29" s="6">
        <v>4.2699999999999996</v>
      </c>
      <c r="B29" s="32" t="s">
        <v>32</v>
      </c>
      <c r="C29" s="33" t="s">
        <v>15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TUG</v>
      </c>
    </row>
    <row r="30" spans="1:36" ht="12.75">
      <c r="A30" s="6">
        <v>4.28</v>
      </c>
      <c r="B30" s="32" t="s">
        <v>32</v>
      </c>
      <c r="C30" s="33" t="s">
        <v>15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TUG</v>
      </c>
    </row>
    <row r="31" spans="1:36" ht="12.75">
      <c r="A31" s="6">
        <v>4.29</v>
      </c>
      <c r="B31" s="32" t="s">
        <v>32</v>
      </c>
      <c r="C31" s="33" t="s">
        <v>15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TUG</v>
      </c>
    </row>
    <row r="32" spans="1:36" ht="12.75">
      <c r="A32" s="6">
        <v>4.3</v>
      </c>
      <c r="B32" s="32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3"/>
      <c r="C33" s="33" t="s">
        <v>56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TUG</v>
      </c>
    </row>
    <row r="34" spans="1:36" ht="12.75">
      <c r="A34" s="6">
        <v>5.0199999999999996</v>
      </c>
      <c r="B34" s="33"/>
      <c r="C34" s="33" t="s">
        <v>56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TUG</v>
      </c>
    </row>
    <row r="35" spans="1:36" ht="12.75">
      <c r="A35" s="6">
        <v>5.03</v>
      </c>
      <c r="B35" s="33"/>
      <c r="C35" s="33" t="s">
        <v>56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TUG</v>
      </c>
    </row>
    <row r="36" spans="1:36" ht="12.75">
      <c r="A36" s="6">
        <v>5.04</v>
      </c>
      <c r="B36" s="33"/>
      <c r="C36" s="33" t="s">
        <v>56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TUG</v>
      </c>
    </row>
    <row r="37" spans="1:36" ht="12.75">
      <c r="A37" s="6">
        <v>5.05</v>
      </c>
      <c r="B37" s="32" t="s">
        <v>32</v>
      </c>
      <c r="C37" s="33" t="s">
        <v>44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TUG</v>
      </c>
    </row>
    <row r="38" spans="1:36" ht="12.75">
      <c r="A38" s="6">
        <v>5.0599999999999996</v>
      </c>
      <c r="B38" s="32" t="s">
        <v>32</v>
      </c>
      <c r="C38" s="33" t="s">
        <v>44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TUG</v>
      </c>
    </row>
    <row r="39" spans="1:36" ht="12.75">
      <c r="A39" s="6">
        <v>5.07</v>
      </c>
      <c r="B39" s="32" t="s">
        <v>32</v>
      </c>
      <c r="C39" s="33" t="s">
        <v>44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TUG</v>
      </c>
    </row>
    <row r="40" spans="1:36" ht="12.75">
      <c r="A40" s="6">
        <v>5.08</v>
      </c>
      <c r="B40" s="32" t="s">
        <v>32</v>
      </c>
      <c r="C40" s="33" t="s">
        <v>44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TUG</v>
      </c>
    </row>
    <row r="41" spans="1:36" ht="12.75">
      <c r="A41" s="6">
        <v>5.09</v>
      </c>
      <c r="B41" s="32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51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TUG</v>
      </c>
    </row>
    <row r="43" spans="1:36" ht="12.75">
      <c r="A43" s="6">
        <v>5.1100000000000003</v>
      </c>
      <c r="B43" s="33"/>
      <c r="C43" s="33" t="s">
        <v>51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TUG</v>
      </c>
    </row>
    <row r="44" spans="1:36" ht="12.75">
      <c r="A44" s="6">
        <v>5.12</v>
      </c>
      <c r="B44" s="33"/>
      <c r="C44" s="33" t="s">
        <v>51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TUG</v>
      </c>
    </row>
    <row r="45" spans="1:36" ht="12.75">
      <c r="A45" s="6">
        <v>5.13</v>
      </c>
      <c r="B45" s="33"/>
      <c r="C45" s="33" t="s">
        <v>51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TUG</v>
      </c>
    </row>
    <row r="46" spans="1:36" ht="12.75">
      <c r="A46" s="6">
        <v>5.14</v>
      </c>
      <c r="B46" s="33"/>
      <c r="C46" s="33" t="s">
        <v>47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TUG</v>
      </c>
    </row>
    <row r="47" spans="1:36" ht="12.75">
      <c r="A47" s="6">
        <v>5.15</v>
      </c>
      <c r="B47" s="33"/>
      <c r="C47" s="33" t="s">
        <v>47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TUG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/>
      <c r="C49" s="33" t="s">
        <v>47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TUG</v>
      </c>
    </row>
    <row r="50" spans="1:36" ht="12.75">
      <c r="A50" s="6">
        <v>5.18</v>
      </c>
      <c r="B50" s="33"/>
      <c r="C50" s="33" t="s">
        <v>47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TUG</v>
      </c>
    </row>
    <row r="51" spans="1:36" ht="12.75">
      <c r="A51" s="6">
        <v>5.19</v>
      </c>
      <c r="B51" s="33"/>
      <c r="C51" s="33" t="s">
        <v>42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TUG</v>
      </c>
    </row>
    <row r="52" spans="1:36" ht="12.75">
      <c r="A52" s="6">
        <v>5.2</v>
      </c>
      <c r="B52" s="33"/>
      <c r="C52" s="33" t="s">
        <v>42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TUG</v>
      </c>
    </row>
    <row r="53" spans="1:36" ht="12.75">
      <c r="A53" s="6">
        <v>5.21</v>
      </c>
      <c r="B53" s="33"/>
      <c r="C53" s="33" t="s">
        <v>42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TUG</v>
      </c>
    </row>
    <row r="54" spans="1:36" ht="12.75">
      <c r="A54" s="6">
        <v>5.22</v>
      </c>
      <c r="B54" s="33"/>
      <c r="C54" s="33" t="s">
        <v>42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TUG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/>
      <c r="C56" s="76" t="s">
        <v>1917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TUG</v>
      </c>
    </row>
    <row r="57" spans="1:36" ht="12.75">
      <c r="A57" s="6">
        <v>5.25</v>
      </c>
      <c r="B57" s="33"/>
      <c r="C57" s="76" t="s">
        <v>1917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TUG</v>
      </c>
    </row>
    <row r="58" spans="1:36" ht="12.75">
      <c r="A58" s="6">
        <v>5.26</v>
      </c>
      <c r="B58" s="33"/>
      <c r="C58" s="76" t="s">
        <v>1917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TUG</v>
      </c>
    </row>
    <row r="59" spans="1:36" ht="12.75">
      <c r="A59" s="6">
        <v>5.27</v>
      </c>
      <c r="B59" s="33"/>
      <c r="C59" s="76" t="s">
        <v>1917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TUG</v>
      </c>
    </row>
    <row r="60" spans="1:36" ht="12.75">
      <c r="A60" s="6">
        <v>5.28</v>
      </c>
      <c r="B60" s="33"/>
      <c r="C60" s="33" t="s">
        <v>55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TUG</v>
      </c>
    </row>
    <row r="61" spans="1:36" ht="12.75">
      <c r="A61" s="6">
        <v>5.29</v>
      </c>
      <c r="B61" s="33"/>
      <c r="C61" s="33" t="s">
        <v>55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TUG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3"/>
      <c r="C63" s="33" t="s">
        <v>55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TUG</v>
      </c>
    </row>
    <row r="64" spans="1:36" ht="12.75">
      <c r="A64" s="6">
        <v>6.01</v>
      </c>
      <c r="B64" s="33"/>
      <c r="C64" s="33" t="s">
        <v>40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TUG</v>
      </c>
    </row>
    <row r="65" spans="1:36" ht="12.75">
      <c r="A65" s="6">
        <v>6.02</v>
      </c>
      <c r="B65" s="33"/>
      <c r="C65" s="33" t="s">
        <v>40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TUG</v>
      </c>
    </row>
    <row r="66" spans="1:36" ht="12.75">
      <c r="A66" s="6">
        <v>6.03</v>
      </c>
      <c r="B66" s="33"/>
      <c r="C66" s="33" t="s">
        <v>40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TUG</v>
      </c>
    </row>
    <row r="67" spans="1:36" ht="12.75">
      <c r="A67" s="6">
        <v>6.04</v>
      </c>
      <c r="B67" s="33"/>
      <c r="C67" s="33" t="s">
        <v>40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TUG</v>
      </c>
    </row>
    <row r="68" spans="1:36" ht="12.75">
      <c r="A68" s="6">
        <v>6.05</v>
      </c>
      <c r="B68" s="33"/>
      <c r="C68" s="33" t="s">
        <v>12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TUG</v>
      </c>
    </row>
    <row r="69" spans="1:36" ht="12.75">
      <c r="A69" s="6">
        <v>6.06</v>
      </c>
      <c r="B69" s="33"/>
      <c r="C69" s="33" t="s">
        <v>12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TUG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3"/>
      <c r="C71" s="33" t="s">
        <v>12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TUG</v>
      </c>
    </row>
    <row r="72" spans="1:36" ht="12.75">
      <c r="A72" s="6">
        <v>6.09</v>
      </c>
      <c r="B72" s="33"/>
      <c r="C72" s="33" t="s">
        <v>12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TUG</v>
      </c>
    </row>
    <row r="73" spans="1:36" ht="12.75">
      <c r="A73" s="6">
        <v>6.1</v>
      </c>
      <c r="B73" s="33"/>
      <c r="C73" s="33" t="s">
        <v>13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TUG</v>
      </c>
    </row>
    <row r="74" spans="1:36" ht="12.75">
      <c r="A74" s="6">
        <v>6.11</v>
      </c>
      <c r="B74" s="33"/>
      <c r="C74" s="33" t="s">
        <v>13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TUG</v>
      </c>
    </row>
    <row r="75" spans="1:36" ht="12.75">
      <c r="A75" s="6">
        <v>6.12</v>
      </c>
      <c r="B75" s="33"/>
      <c r="C75" s="33" t="s">
        <v>13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TUG</v>
      </c>
    </row>
    <row r="76" spans="1:36" ht="12.75">
      <c r="A76" s="6">
        <v>6.13</v>
      </c>
      <c r="B76" s="33"/>
      <c r="C76" s="33" t="s">
        <v>13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TUG</v>
      </c>
    </row>
    <row r="77" spans="1:36" ht="12.75">
      <c r="A77" s="6">
        <v>6.14</v>
      </c>
      <c r="B77" s="33"/>
      <c r="C77" s="33" t="s">
        <v>46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TUG</v>
      </c>
    </row>
    <row r="78" spans="1:36" ht="12.75">
      <c r="A78" s="6">
        <v>6.15</v>
      </c>
      <c r="B78" s="33"/>
      <c r="C78" s="33" t="s">
        <v>46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TUG</v>
      </c>
    </row>
    <row r="79" spans="1:36" ht="12.75">
      <c r="A79" s="6">
        <v>6.16</v>
      </c>
      <c r="B79" s="33"/>
      <c r="C79" s="33" t="s">
        <v>46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TUG</v>
      </c>
    </row>
    <row r="80" spans="1:36" ht="12.75">
      <c r="A80" s="6">
        <v>6.17</v>
      </c>
      <c r="B80" s="33"/>
      <c r="C80" s="33" t="s">
        <v>46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TUG</v>
      </c>
    </row>
    <row r="81" spans="1:36" ht="12.75">
      <c r="A81" s="6">
        <v>6.18</v>
      </c>
      <c r="B81" s="33" t="s">
        <v>32</v>
      </c>
      <c r="C81" s="33" t="s">
        <v>43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TUG</v>
      </c>
    </row>
    <row r="82" spans="1:36" ht="12.75">
      <c r="A82" s="6">
        <v>6.19</v>
      </c>
      <c r="B82" s="33" t="s">
        <v>32</v>
      </c>
      <c r="C82" s="33" t="s">
        <v>43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TUG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3" t="s">
        <v>32</v>
      </c>
      <c r="C84" s="33" t="s">
        <v>43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TUG</v>
      </c>
    </row>
    <row r="85" spans="1:36" ht="12.75">
      <c r="A85" s="6">
        <v>6.22</v>
      </c>
      <c r="B85" s="33" t="s">
        <v>32</v>
      </c>
      <c r="C85" s="33" t="s">
        <v>43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TUG</v>
      </c>
    </row>
    <row r="86" spans="1:36" ht="12.75">
      <c r="A86" s="6">
        <v>6.23</v>
      </c>
      <c r="B86" s="33" t="s">
        <v>32</v>
      </c>
      <c r="C86" s="33" t="s">
        <v>54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TUG</v>
      </c>
    </row>
    <row r="87" spans="1:36" ht="12.75">
      <c r="A87" s="6">
        <v>6.24</v>
      </c>
      <c r="B87" s="33" t="s">
        <v>32</v>
      </c>
      <c r="C87" s="33" t="s">
        <v>54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TUG</v>
      </c>
    </row>
    <row r="88" spans="1:36" ht="12.75">
      <c r="A88" s="6">
        <v>6.25</v>
      </c>
      <c r="B88" s="33" t="s">
        <v>32</v>
      </c>
      <c r="C88" s="33" t="s">
        <v>54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TUG</v>
      </c>
    </row>
    <row r="89" spans="1:36" ht="12.75">
      <c r="A89" s="6">
        <v>6.26</v>
      </c>
      <c r="B89" s="33" t="s">
        <v>32</v>
      </c>
      <c r="C89" s="33" t="s">
        <v>54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TUG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5">
      <c r="A91" s="6">
        <v>6.28</v>
      </c>
      <c r="B91" s="36" t="s">
        <v>32</v>
      </c>
      <c r="C91" s="36" t="s">
        <v>14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TUG</v>
      </c>
    </row>
    <row r="92" spans="1:36" ht="15">
      <c r="A92" s="6">
        <v>6.29</v>
      </c>
      <c r="B92" s="36" t="s">
        <v>32</v>
      </c>
      <c r="C92" s="36" t="s">
        <v>14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TUG</v>
      </c>
    </row>
    <row r="93" spans="1:36" ht="15">
      <c r="A93" s="6">
        <v>6.3</v>
      </c>
      <c r="B93" s="36" t="s">
        <v>32</v>
      </c>
      <c r="C93" s="36" t="s">
        <v>14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TUG</v>
      </c>
    </row>
    <row r="94" spans="1:36" ht="12.75">
      <c r="A94" s="6">
        <v>7.01</v>
      </c>
      <c r="B94" s="33"/>
      <c r="C94" s="33" t="s">
        <v>17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TUG</v>
      </c>
    </row>
    <row r="95" spans="1:36" ht="12.75">
      <c r="A95" s="6">
        <v>7.02</v>
      </c>
      <c r="B95" s="33"/>
      <c r="C95" s="33" t="s">
        <v>17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TUG</v>
      </c>
    </row>
    <row r="96" spans="1:36" ht="12.75">
      <c r="A96" s="6">
        <v>7.03</v>
      </c>
      <c r="B96" s="33"/>
      <c r="C96" s="33" t="s">
        <v>17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TUG</v>
      </c>
    </row>
    <row r="97" spans="1:36" ht="12.75">
      <c r="A97" s="6">
        <v>7.04</v>
      </c>
      <c r="B97" s="34"/>
      <c r="C97" s="33" t="s">
        <v>53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TUG</v>
      </c>
    </row>
    <row r="98" spans="1:36" ht="12.75">
      <c r="A98" s="6">
        <v>7.05</v>
      </c>
      <c r="B98" s="34"/>
      <c r="C98" s="33" t="s">
        <v>53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TUG</v>
      </c>
    </row>
    <row r="99" spans="1:36" ht="12.75">
      <c r="A99" s="6">
        <v>7.06</v>
      </c>
      <c r="B99" s="34"/>
      <c r="C99" s="33" t="s">
        <v>53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TUG</v>
      </c>
    </row>
    <row r="100" spans="1:36" ht="12.75">
      <c r="A100" s="6">
        <v>7.07</v>
      </c>
      <c r="B100" s="33"/>
      <c r="C100" s="33" t="s">
        <v>16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TUG</v>
      </c>
    </row>
    <row r="101" spans="1:36" ht="12.75">
      <c r="A101" s="6">
        <v>7.08</v>
      </c>
      <c r="B101" s="33"/>
      <c r="C101" s="33" t="s">
        <v>16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TUG</v>
      </c>
    </row>
    <row r="102" spans="1:36" ht="12.75">
      <c r="A102" s="6">
        <v>7.09</v>
      </c>
      <c r="B102" s="33"/>
      <c r="C102" s="33" t="s">
        <v>16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TUG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2" t="s">
        <v>32</v>
      </c>
      <c r="C106" s="33" t="s">
        <v>34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TUG</v>
      </c>
    </row>
    <row r="107" spans="1:36" ht="12.75">
      <c r="A107" s="6">
        <v>7.14</v>
      </c>
      <c r="B107" s="32" t="s">
        <v>32</v>
      </c>
      <c r="C107" s="33" t="s">
        <v>34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TUG</v>
      </c>
    </row>
    <row r="108" spans="1:36" ht="12.75">
      <c r="A108" s="6">
        <v>7.15</v>
      </c>
      <c r="B108" s="32" t="s">
        <v>32</v>
      </c>
      <c r="C108" s="33" t="s">
        <v>34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TUG</v>
      </c>
    </row>
    <row r="109" spans="1:36" ht="12.75">
      <c r="A109" s="6">
        <v>7.16</v>
      </c>
      <c r="B109" s="33"/>
      <c r="C109" s="76" t="s">
        <v>1919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TUG</v>
      </c>
    </row>
    <row r="110" spans="1:36" ht="12.75">
      <c r="A110" s="6">
        <v>7.17</v>
      </c>
      <c r="B110" s="33"/>
      <c r="C110" s="76" t="s">
        <v>1919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TUG</v>
      </c>
    </row>
    <row r="111" spans="1:36" ht="12.75">
      <c r="A111" s="6">
        <v>7.18</v>
      </c>
      <c r="B111" s="33"/>
      <c r="C111" s="76" t="s">
        <v>1919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TUG</v>
      </c>
    </row>
    <row r="112" spans="1:36" ht="12.75">
      <c r="A112" s="6">
        <v>7.19</v>
      </c>
      <c r="B112" s="33" t="s">
        <v>32</v>
      </c>
      <c r="C112" s="33" t="s">
        <v>33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TUG</v>
      </c>
    </row>
    <row r="113" spans="1:36" ht="12.75">
      <c r="A113" s="6">
        <v>7.2</v>
      </c>
      <c r="B113" s="33" t="s">
        <v>32</v>
      </c>
      <c r="C113" s="33" t="s">
        <v>33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TUG</v>
      </c>
    </row>
    <row r="114" spans="1:36" ht="12.75">
      <c r="A114" s="6">
        <v>7.21</v>
      </c>
      <c r="B114" s="33" t="s">
        <v>32</v>
      </c>
      <c r="C114" s="33" t="s">
        <v>33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TUG</v>
      </c>
    </row>
    <row r="115" spans="1:36" ht="12.75">
      <c r="A115" s="6">
        <v>7.22</v>
      </c>
      <c r="B115" s="33" t="s">
        <v>32</v>
      </c>
      <c r="C115" s="33" t="s">
        <v>33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TUG</v>
      </c>
    </row>
    <row r="116" spans="1:36" ht="12.75">
      <c r="A116" s="6">
        <v>7.23</v>
      </c>
      <c r="B116" s="33" t="s">
        <v>32</v>
      </c>
      <c r="C116" s="33" t="s">
        <v>48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TUG</v>
      </c>
    </row>
    <row r="117" spans="1:36" ht="12.75">
      <c r="A117" s="6">
        <v>7.24</v>
      </c>
      <c r="B117" s="33" t="s">
        <v>32</v>
      </c>
      <c r="C117" s="33" t="s">
        <v>48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TUG</v>
      </c>
    </row>
    <row r="118" spans="1:36" ht="12.75">
      <c r="A118" s="6">
        <v>7.25</v>
      </c>
      <c r="B118" s="33" t="s">
        <v>32</v>
      </c>
      <c r="C118" s="33" t="s">
        <v>48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TUG</v>
      </c>
    </row>
    <row r="119" spans="1:36" ht="12.75">
      <c r="A119" s="6">
        <v>7.26</v>
      </c>
      <c r="B119" s="33" t="s">
        <v>32</v>
      </c>
      <c r="C119" s="33" t="s">
        <v>48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TUG</v>
      </c>
    </row>
    <row r="120" spans="1:36" ht="12.75">
      <c r="A120" s="6">
        <v>7.27</v>
      </c>
      <c r="B120" s="32" t="s">
        <v>32</v>
      </c>
      <c r="C120" s="33" t="s">
        <v>45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TUG</v>
      </c>
    </row>
    <row r="121" spans="1:36" ht="12.75">
      <c r="A121" s="6">
        <v>7.28</v>
      </c>
      <c r="B121" s="32" t="s">
        <v>32</v>
      </c>
      <c r="C121" s="33" t="s">
        <v>45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TUG</v>
      </c>
    </row>
    <row r="122" spans="1:36" ht="12.75">
      <c r="A122" s="6">
        <v>7.29</v>
      </c>
      <c r="B122" s="32" t="s">
        <v>32</v>
      </c>
      <c r="C122" s="33" t="s">
        <v>45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TUG</v>
      </c>
    </row>
    <row r="123" spans="1:36" ht="12.75">
      <c r="A123" s="6">
        <v>7.3</v>
      </c>
      <c r="B123" s="32" t="s">
        <v>32</v>
      </c>
      <c r="C123" s="33" t="s">
        <v>45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TUG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3"/>
      <c r="C125" s="33" t="s">
        <v>39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TUG</v>
      </c>
    </row>
    <row r="126" spans="1:36" ht="12.75">
      <c r="A126" s="6">
        <v>8.02</v>
      </c>
      <c r="B126" s="33"/>
      <c r="C126" s="33" t="s">
        <v>39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TUG</v>
      </c>
    </row>
    <row r="127" spans="1:36" ht="12.75">
      <c r="A127" s="6">
        <v>8.0299999999999994</v>
      </c>
      <c r="B127" s="33"/>
      <c r="C127" s="33" t="s">
        <v>39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TUG</v>
      </c>
    </row>
    <row r="128" spans="1:36" ht="12.75">
      <c r="A128" s="6">
        <v>8.0399999999999991</v>
      </c>
      <c r="B128" s="33"/>
      <c r="C128" s="33" t="s">
        <v>39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TUG</v>
      </c>
    </row>
    <row r="129" spans="1:36" ht="12.75">
      <c r="A129" s="6">
        <v>8.0500000000000007</v>
      </c>
      <c r="B129" s="32" t="s">
        <v>32</v>
      </c>
      <c r="C129" s="33" t="s">
        <v>17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TUG</v>
      </c>
    </row>
    <row r="130" spans="1:36" ht="12.75">
      <c r="A130" s="6">
        <v>8.06</v>
      </c>
      <c r="B130" s="32" t="s">
        <v>32</v>
      </c>
      <c r="C130" s="33" t="s">
        <v>17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TUG</v>
      </c>
    </row>
    <row r="131" spans="1:36" ht="12.75">
      <c r="A131" s="6">
        <v>8.07</v>
      </c>
      <c r="B131" s="32" t="s">
        <v>32</v>
      </c>
      <c r="C131" s="33" t="s">
        <v>17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TUG</v>
      </c>
    </row>
    <row r="132" spans="1:36" ht="12.75">
      <c r="A132" s="6">
        <v>8.08</v>
      </c>
      <c r="B132" s="32" t="s">
        <v>32</v>
      </c>
      <c r="C132" s="33" t="s">
        <v>17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TUG</v>
      </c>
    </row>
    <row r="133" spans="1:36" ht="12.75">
      <c r="A133" s="6">
        <v>8.09</v>
      </c>
      <c r="B133" s="32" t="s">
        <v>32</v>
      </c>
      <c r="C133" s="76" t="s">
        <v>1919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TUG</v>
      </c>
    </row>
    <row r="134" spans="1:36" ht="12.75">
      <c r="A134" s="6">
        <v>8.1</v>
      </c>
      <c r="B134" s="32" t="s">
        <v>32</v>
      </c>
      <c r="C134" s="76" t="s">
        <v>1919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TUG</v>
      </c>
    </row>
    <row r="135" spans="1:36" ht="12.75">
      <c r="A135" s="6">
        <v>8.11</v>
      </c>
      <c r="B135" s="32" t="s">
        <v>32</v>
      </c>
      <c r="C135" s="76" t="s">
        <v>1919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TUG</v>
      </c>
    </row>
    <row r="136" spans="1:36" ht="12.75">
      <c r="A136" s="6">
        <v>8.1199999999999992</v>
      </c>
      <c r="B136" s="32" t="s">
        <v>32</v>
      </c>
      <c r="C136" s="76" t="s">
        <v>1919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TUG</v>
      </c>
    </row>
    <row r="137" spans="1:36" ht="12.75">
      <c r="A137" s="6">
        <v>8.1300000000000008</v>
      </c>
      <c r="B137" s="32"/>
      <c r="C137" s="33" t="s">
        <v>14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TUG</v>
      </c>
    </row>
    <row r="138" spans="1:36" ht="12.75">
      <c r="A138" s="6">
        <v>8.14</v>
      </c>
      <c r="B138" s="32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2"/>
      <c r="C139" s="33" t="s">
        <v>14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TUG</v>
      </c>
    </row>
    <row r="140" spans="1:36" ht="12.75">
      <c r="A140" s="6">
        <v>8.16</v>
      </c>
      <c r="B140" s="32"/>
      <c r="C140" s="33" t="s">
        <v>14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TUG</v>
      </c>
    </row>
    <row r="141" spans="1:36" ht="12.75">
      <c r="A141" s="6">
        <v>8.17</v>
      </c>
      <c r="B141" s="32"/>
      <c r="C141" s="33" t="s">
        <v>14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TUG</v>
      </c>
    </row>
    <row r="142" spans="1:36" ht="12.75">
      <c r="A142" s="6">
        <v>8.18</v>
      </c>
      <c r="B142" s="32" t="s">
        <v>32</v>
      </c>
      <c r="C142" s="33" t="s">
        <v>56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TUG</v>
      </c>
    </row>
    <row r="143" spans="1:36" ht="12.75">
      <c r="A143" s="6">
        <v>8.19</v>
      </c>
      <c r="B143" s="32" t="s">
        <v>32</v>
      </c>
      <c r="C143" s="33" t="s">
        <v>56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TUG</v>
      </c>
    </row>
    <row r="144" spans="1:36" ht="12.75">
      <c r="A144" s="6">
        <v>8.1999999999999993</v>
      </c>
      <c r="B144" s="32" t="s">
        <v>32</v>
      </c>
      <c r="C144" s="33" t="s">
        <v>56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TUG</v>
      </c>
    </row>
    <row r="145" spans="1:36" ht="12.75">
      <c r="A145" s="6">
        <v>8.2100000000000009</v>
      </c>
      <c r="B145" s="32"/>
      <c r="C145" s="33" t="s">
        <v>34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TUG</v>
      </c>
    </row>
    <row r="146" spans="1:36" ht="12.75">
      <c r="A146" s="6">
        <v>8.2200000000000006</v>
      </c>
      <c r="B146" s="32"/>
      <c r="C146" s="33" t="s">
        <v>34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TUG</v>
      </c>
    </row>
    <row r="147" spans="1:36" ht="12.75">
      <c r="A147" s="6">
        <v>8.23</v>
      </c>
      <c r="B147" s="32"/>
      <c r="C147" s="33" t="s">
        <v>34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TUG</v>
      </c>
    </row>
    <row r="148" spans="1:36" ht="12.75">
      <c r="A148" s="6">
        <v>8.24</v>
      </c>
      <c r="B148" s="32"/>
      <c r="C148" s="33" t="s">
        <v>34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TUG</v>
      </c>
    </row>
    <row r="149" spans="1:36" ht="12.75">
      <c r="A149" s="6">
        <v>8.25</v>
      </c>
      <c r="B149" s="32" t="s">
        <v>32</v>
      </c>
      <c r="C149" s="33" t="s">
        <v>53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TUG</v>
      </c>
    </row>
    <row r="150" spans="1:36" ht="12.75">
      <c r="A150" s="6">
        <v>8.26</v>
      </c>
      <c r="B150" s="32" t="s">
        <v>32</v>
      </c>
      <c r="C150" s="33" t="s">
        <v>53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TUG</v>
      </c>
    </row>
    <row r="151" spans="1:36" ht="12.75">
      <c r="A151" s="6">
        <v>8.27</v>
      </c>
      <c r="B151" s="32" t="s">
        <v>32</v>
      </c>
      <c r="C151" s="33" t="s">
        <v>53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TUG</v>
      </c>
    </row>
    <row r="152" spans="1:36" ht="12.75">
      <c r="A152" s="6">
        <v>8.2799999999999994</v>
      </c>
      <c r="B152" s="32" t="s">
        <v>32</v>
      </c>
      <c r="C152" s="33" t="s">
        <v>53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TUG</v>
      </c>
    </row>
    <row r="153" spans="1:36" ht="12.75">
      <c r="A153" s="6">
        <v>8.2899999999999991</v>
      </c>
      <c r="B153" s="32"/>
      <c r="C153" s="33" t="s">
        <v>44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TUG</v>
      </c>
    </row>
    <row r="154" spans="1:36" ht="12.75">
      <c r="A154" s="6">
        <v>8.3000000000000007</v>
      </c>
      <c r="B154" s="33"/>
      <c r="C154" s="33" t="s">
        <v>44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TUG</v>
      </c>
    </row>
    <row r="155" spans="1:36" ht="12.75">
      <c r="A155" s="6">
        <v>8.31</v>
      </c>
      <c r="B155" s="33"/>
      <c r="C155" s="33" t="s">
        <v>44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TUG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42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TUG</v>
      </c>
    </row>
    <row r="158" spans="1:36" ht="12.75">
      <c r="A158" s="6">
        <v>9.0299999999999994</v>
      </c>
      <c r="B158" s="33" t="s">
        <v>32</v>
      </c>
      <c r="C158" s="33" t="s">
        <v>42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TUG</v>
      </c>
    </row>
    <row r="159" spans="1:36" ht="12.75">
      <c r="A159" s="6">
        <v>9.0399999999999991</v>
      </c>
      <c r="B159" s="33" t="s">
        <v>32</v>
      </c>
      <c r="C159" s="33" t="s">
        <v>42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TUG</v>
      </c>
    </row>
    <row r="160" spans="1:36" ht="12.75">
      <c r="A160" s="6">
        <v>9.0500000000000007</v>
      </c>
      <c r="B160" s="33" t="s">
        <v>32</v>
      </c>
      <c r="C160" s="33" t="s">
        <v>12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TUG</v>
      </c>
    </row>
    <row r="161" spans="1:36" ht="12.75">
      <c r="A161" s="6">
        <v>9.06</v>
      </c>
      <c r="B161" s="33" t="s">
        <v>32</v>
      </c>
      <c r="C161" s="33" t="s">
        <v>12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TUG</v>
      </c>
    </row>
    <row r="162" spans="1:36" ht="12.75">
      <c r="A162" s="6">
        <v>9.07</v>
      </c>
      <c r="B162" s="33" t="s">
        <v>32</v>
      </c>
      <c r="C162" s="33" t="s">
        <v>12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TUG</v>
      </c>
    </row>
    <row r="163" spans="1:36" ht="12.75">
      <c r="A163" s="6">
        <v>9.08</v>
      </c>
      <c r="B163" s="33" t="s">
        <v>32</v>
      </c>
      <c r="C163" s="33" t="s">
        <v>47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TUG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3" t="s">
        <v>32</v>
      </c>
      <c r="C165" s="33" t="s">
        <v>47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TUG</v>
      </c>
    </row>
    <row r="166" spans="1:36" ht="12.75">
      <c r="A166" s="6">
        <v>9.11</v>
      </c>
      <c r="B166" s="33" t="s">
        <v>32</v>
      </c>
      <c r="C166" s="33" t="s">
        <v>47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TUG</v>
      </c>
    </row>
    <row r="167" spans="1:36" ht="12.75">
      <c r="A167" s="6">
        <v>9.1199999999999992</v>
      </c>
      <c r="B167" s="33" t="s">
        <v>32</v>
      </c>
      <c r="C167" s="33" t="s">
        <v>55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TUG</v>
      </c>
    </row>
    <row r="168" spans="1:36" ht="12.75">
      <c r="A168" s="6">
        <v>9.1300000000000008</v>
      </c>
      <c r="B168" s="33" t="s">
        <v>32</v>
      </c>
      <c r="C168" s="33" t="s">
        <v>55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TUG</v>
      </c>
    </row>
    <row r="169" spans="1:36" ht="12.75">
      <c r="A169" s="6">
        <v>9.14</v>
      </c>
      <c r="B169" s="33" t="s">
        <v>32</v>
      </c>
      <c r="C169" s="33" t="s">
        <v>55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TUG</v>
      </c>
    </row>
    <row r="170" spans="1:36" ht="12.75">
      <c r="A170" s="6">
        <v>9.15</v>
      </c>
      <c r="B170" s="33" t="s">
        <v>32</v>
      </c>
      <c r="C170" s="33" t="s">
        <v>55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TUG</v>
      </c>
    </row>
    <row r="171" spans="1:36" ht="12.75">
      <c r="A171" s="6">
        <v>9.16</v>
      </c>
      <c r="B171" s="33" t="s">
        <v>32</v>
      </c>
      <c r="C171" s="33" t="s">
        <v>39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TUG</v>
      </c>
    </row>
    <row r="172" spans="1:36" ht="12.75">
      <c r="A172" s="6">
        <v>9.17</v>
      </c>
      <c r="B172" s="33" t="s">
        <v>32</v>
      </c>
      <c r="C172" s="33" t="s">
        <v>39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TUG</v>
      </c>
    </row>
    <row r="173" spans="1:36" ht="12.75">
      <c r="A173" s="6">
        <v>9.18</v>
      </c>
      <c r="B173" s="33" t="s">
        <v>32</v>
      </c>
      <c r="C173" s="33" t="s">
        <v>39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TUG</v>
      </c>
    </row>
    <row r="174" spans="1:36" ht="12.75">
      <c r="A174" s="6">
        <v>9.19</v>
      </c>
      <c r="B174" s="33" t="s">
        <v>32</v>
      </c>
      <c r="C174" s="33" t="s">
        <v>16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TUG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3" t="s">
        <v>32</v>
      </c>
      <c r="C176" s="33" t="s">
        <v>16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TUG</v>
      </c>
    </row>
    <row r="177" spans="1:36" ht="12.75">
      <c r="A177" s="6">
        <v>9.2200000000000006</v>
      </c>
      <c r="B177" s="33" t="s">
        <v>32</v>
      </c>
      <c r="C177" s="33" t="s">
        <v>16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TUG</v>
      </c>
    </row>
    <row r="178" spans="1:36" ht="12.75">
      <c r="A178" s="6">
        <v>9.23</v>
      </c>
      <c r="B178" s="33" t="s">
        <v>32</v>
      </c>
      <c r="C178" s="33" t="s">
        <v>16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TUG</v>
      </c>
    </row>
    <row r="179" spans="1:36" ht="12.75">
      <c r="A179" s="6">
        <v>9.24</v>
      </c>
      <c r="B179" s="33"/>
      <c r="C179" s="33" t="s">
        <v>49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TUG</v>
      </c>
    </row>
    <row r="180" spans="1:36" ht="12.75">
      <c r="A180" s="6">
        <v>9.25</v>
      </c>
      <c r="B180" s="33"/>
      <c r="C180" s="33" t="s">
        <v>49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TUG</v>
      </c>
    </row>
    <row r="181" spans="1:36" ht="12.75">
      <c r="A181" s="6">
        <v>9.26</v>
      </c>
      <c r="B181" s="33"/>
      <c r="C181" s="33" t="s">
        <v>49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TUG</v>
      </c>
    </row>
    <row r="182" spans="1:36" ht="12.75">
      <c r="A182" s="6">
        <v>9.27</v>
      </c>
      <c r="B182" s="33"/>
      <c r="C182" s="33" t="s">
        <v>54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TUG</v>
      </c>
    </row>
    <row r="183" spans="1:36" ht="12.75">
      <c r="A183" s="6">
        <v>9.2799999999999994</v>
      </c>
      <c r="B183" s="33"/>
      <c r="C183" s="33" t="s">
        <v>54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TUG</v>
      </c>
    </row>
    <row r="184" spans="1:36" ht="12.75">
      <c r="A184" s="6">
        <v>9.2899999999999991</v>
      </c>
      <c r="B184" s="33"/>
      <c r="C184" s="33" t="s">
        <v>54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TUG</v>
      </c>
    </row>
    <row r="185" spans="1:36" ht="12.75">
      <c r="A185" s="6">
        <v>9.3000000000000007</v>
      </c>
      <c r="B185" s="33"/>
      <c r="C185" s="33" t="s">
        <v>54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TUG</v>
      </c>
    </row>
    <row r="186" spans="1:36">
      <c r="A186" s="6"/>
      <c r="B186" s="6"/>
      <c r="D186" s="4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6"/>
      <c r="B190" s="6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4:36"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4:36">
      <c r="K194" s="2"/>
      <c r="AJ194" s="2"/>
    </row>
    <row r="195" spans="4:36">
      <c r="K195" s="2"/>
      <c r="AJ195" s="2"/>
    </row>
    <row r="196" spans="4:36">
      <c r="K196" s="2"/>
      <c r="AJ196" s="2"/>
    </row>
    <row r="197" spans="4:36">
      <c r="K197" s="2"/>
      <c r="AJ197" s="2"/>
    </row>
    <row r="198" spans="4:36">
      <c r="K198" s="2"/>
      <c r="AJ198" s="2"/>
    </row>
    <row r="199" spans="4:36">
      <c r="K199" s="2"/>
      <c r="AJ199" s="2"/>
    </row>
    <row r="200" spans="4:36">
      <c r="K200" s="2"/>
      <c r="AJ200" s="2"/>
    </row>
    <row r="201" spans="4:36">
      <c r="K201" s="2"/>
      <c r="AJ201" s="2"/>
    </row>
    <row r="202" spans="4:36">
      <c r="K202" s="2"/>
      <c r="AJ202" s="2"/>
    </row>
    <row r="203" spans="4:36">
      <c r="K203" s="2"/>
      <c r="AJ203" s="2"/>
    </row>
    <row r="204" spans="4:36">
      <c r="AJ204" s="2"/>
    </row>
    <row r="205" spans="4:36">
      <c r="AJ205" s="2"/>
    </row>
    <row r="206" spans="4:36">
      <c r="AJ206" s="2"/>
    </row>
    <row r="207" spans="4:36">
      <c r="AJ207" s="2"/>
    </row>
    <row r="208" spans="4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315" priority="477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14" priority="478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313" priority="479" stopIfTrue="1" operator="equal">
      <formula>"input a different starter in column C"</formula>
    </cfRule>
  </conditionalFormatting>
  <conditionalFormatting sqref="AK23">
    <cfRule type="cellIs" dxfId="312" priority="481" stopIfTrue="1" operator="equal">
      <formula>"must have 162 starts"</formula>
    </cfRule>
  </conditionalFormatting>
  <conditionalFormatting sqref="AH3:AH22">
    <cfRule type="cellIs" dxfId="311" priority="312" stopIfTrue="1" operator="equal">
      <formula>"must average at least 5 innings per start"</formula>
    </cfRule>
  </conditionalFormatting>
  <conditionalFormatting sqref="AH23">
    <cfRule type="cellIs" dxfId="310" priority="311" stopIfTrue="1" operator="equal">
      <formula>"must have 162 starts"</formula>
    </cfRule>
  </conditionalFormatting>
  <conditionalFormatting sqref="AG3:AG22">
    <cfRule type="cellIs" dxfId="309" priority="310" stopIfTrue="1" operator="equal">
      <formula>"must average at least 5 innings per start"</formula>
    </cfRule>
  </conditionalFormatting>
  <conditionalFormatting sqref="AG23">
    <cfRule type="cellIs" dxfId="308" priority="309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7" priority="30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6" priority="30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5" priority="30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4" priority="30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3" priority="30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2" priority="30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1" priority="30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300" priority="30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99" priority="30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98" priority="29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97" priority="29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96" priority="29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295" priority="296" stopIfTrue="1" operator="equal">
      <formula>"input starter in column C"</formula>
    </cfRule>
  </conditionalFormatting>
  <conditionalFormatting sqref="P3">
    <cfRule type="cellIs" dxfId="294" priority="295" stopIfTrue="1" operator="equal">
      <formula>"input starter in column D"</formula>
    </cfRule>
  </conditionalFormatting>
  <conditionalFormatting sqref="P4">
    <cfRule type="cellIs" dxfId="293" priority="294" stopIfTrue="1" operator="equal">
      <formula>"input starter in column D"</formula>
    </cfRule>
  </conditionalFormatting>
  <conditionalFormatting sqref="P5">
    <cfRule type="cellIs" dxfId="292" priority="293" stopIfTrue="1" operator="equal">
      <formula>"INPUT STARTER IN COLUMN D"</formula>
    </cfRule>
  </conditionalFormatting>
  <conditionalFormatting sqref="P6">
    <cfRule type="cellIs" dxfId="291" priority="292" stopIfTrue="1" operator="equal">
      <formula>"INPUT STARTER IN COLUMN D"</formula>
    </cfRule>
  </conditionalFormatting>
  <conditionalFormatting sqref="P8">
    <cfRule type="cellIs" dxfId="290" priority="291" stopIfTrue="1" operator="equal">
      <formula>"INPUT STARTER IN COLUMN D"</formula>
    </cfRule>
  </conditionalFormatting>
  <conditionalFormatting sqref="P9">
    <cfRule type="cellIs" dxfId="289" priority="290" stopIfTrue="1" operator="equal">
      <formula>"INPUT STARTER IN COLUMN D"</formula>
    </cfRule>
  </conditionalFormatting>
  <conditionalFormatting sqref="P10">
    <cfRule type="cellIs" dxfId="288" priority="289" stopIfTrue="1" operator="equal">
      <formula>"INPUT STARTER IN COLUMN D"</formula>
    </cfRule>
  </conditionalFormatting>
  <conditionalFormatting sqref="P11">
    <cfRule type="cellIs" dxfId="287" priority="288" stopIfTrue="1" operator="equal">
      <formula>"INPUT STARTER IN COLUMN D"</formula>
    </cfRule>
  </conditionalFormatting>
  <conditionalFormatting sqref="P13">
    <cfRule type="cellIs" dxfId="286" priority="287" stopIfTrue="1" operator="equal">
      <formula>"INPUT STARTER IN COLUMN D"</formula>
    </cfRule>
  </conditionalFormatting>
  <conditionalFormatting sqref="P14">
    <cfRule type="cellIs" dxfId="285" priority="286" stopIfTrue="1" operator="equal">
      <formula>"INPUT STARTER IN COLUMN D"</formula>
    </cfRule>
  </conditionalFormatting>
  <conditionalFormatting sqref="P15">
    <cfRule type="cellIs" dxfId="284" priority="285" stopIfTrue="1" operator="equal">
      <formula>"INPUT STARTER IN COLUMN D"</formula>
    </cfRule>
  </conditionalFormatting>
  <conditionalFormatting sqref="P16">
    <cfRule type="cellIs" dxfId="283" priority="284" stopIfTrue="1" operator="equal">
      <formula>"INPUT STARTER IN COLUMN D"</formula>
    </cfRule>
  </conditionalFormatting>
  <conditionalFormatting sqref="P18">
    <cfRule type="cellIs" dxfId="282" priority="283" stopIfTrue="1" operator="equal">
      <formula>"INPUT STARTER IN COLUMN D"</formula>
    </cfRule>
  </conditionalFormatting>
  <conditionalFormatting sqref="P19">
    <cfRule type="cellIs" dxfId="281" priority="282" stopIfTrue="1" operator="equal">
      <formula>"INPUT STARTER IN COLUMN D"</formula>
    </cfRule>
  </conditionalFormatting>
  <conditionalFormatting sqref="P20">
    <cfRule type="cellIs" dxfId="280" priority="281" stopIfTrue="1" operator="equal">
      <formula>"INPUT STARTER IN COLUMN D"</formula>
    </cfRule>
  </conditionalFormatting>
  <conditionalFormatting sqref="P21">
    <cfRule type="cellIs" dxfId="279" priority="280" stopIfTrue="1" operator="equal">
      <formula>"INPUT STARTER IN COLUMN D"</formula>
    </cfRule>
  </conditionalFormatting>
  <conditionalFormatting sqref="P23">
    <cfRule type="cellIs" dxfId="278" priority="279" stopIfTrue="1" operator="equal">
      <formula>"INPUT STARTER IN COLUMN D"</formula>
    </cfRule>
  </conditionalFormatting>
  <conditionalFormatting sqref="P24">
    <cfRule type="cellIs" dxfId="277" priority="278" stopIfTrue="1" operator="equal">
      <formula>"INPUT STARTER IN COLUMN D"</formula>
    </cfRule>
  </conditionalFormatting>
  <conditionalFormatting sqref="P25">
    <cfRule type="cellIs" dxfId="276" priority="277" stopIfTrue="1" operator="equal">
      <formula>"INPUT STARTER IN COLUMN D"</formula>
    </cfRule>
  </conditionalFormatting>
  <conditionalFormatting sqref="P26">
    <cfRule type="cellIs" dxfId="275" priority="276" stopIfTrue="1" operator="equal">
      <formula>"INPUT STARTER IN COLUMN D"</formula>
    </cfRule>
  </conditionalFormatting>
  <conditionalFormatting sqref="P28">
    <cfRule type="cellIs" dxfId="274" priority="275" stopIfTrue="1" operator="equal">
      <formula>"INPUT STARTER IN COLUMN D"</formula>
    </cfRule>
  </conditionalFormatting>
  <conditionalFormatting sqref="P29">
    <cfRule type="cellIs" dxfId="273" priority="274" stopIfTrue="1" operator="equal">
      <formula>"INPUT STARTER IN COLUMN D"</formula>
    </cfRule>
  </conditionalFormatting>
  <conditionalFormatting sqref="P30">
    <cfRule type="cellIs" dxfId="272" priority="273" stopIfTrue="1" operator="equal">
      <formula>"INPUT STARTER IN COLUMN D"</formula>
    </cfRule>
  </conditionalFormatting>
  <conditionalFormatting sqref="P31">
    <cfRule type="cellIs" dxfId="271" priority="272" stopIfTrue="1" operator="equal">
      <formula>"INPUT STARTER IN COLUMN D"</formula>
    </cfRule>
  </conditionalFormatting>
  <conditionalFormatting sqref="P33">
    <cfRule type="cellIs" dxfId="270" priority="271" stopIfTrue="1" operator="equal">
      <formula>"INPUT STARTER IN COLUMN D"</formula>
    </cfRule>
  </conditionalFormatting>
  <conditionalFormatting sqref="P34">
    <cfRule type="cellIs" dxfId="269" priority="270" stopIfTrue="1" operator="equal">
      <formula>"INPUT STARTER IN COLUMN D"</formula>
    </cfRule>
  </conditionalFormatting>
  <conditionalFormatting sqref="P35">
    <cfRule type="cellIs" dxfId="268" priority="269" stopIfTrue="1" operator="equal">
      <formula>"INPUT STARTER IN COLUMN D"</formula>
    </cfRule>
  </conditionalFormatting>
  <conditionalFormatting sqref="P36">
    <cfRule type="cellIs" dxfId="267" priority="268" stopIfTrue="1" operator="equal">
      <formula>"INPUT STARTER IN COLUMN D"</formula>
    </cfRule>
  </conditionalFormatting>
  <conditionalFormatting sqref="P37">
    <cfRule type="cellIs" dxfId="266" priority="267" stopIfTrue="1" operator="equal">
      <formula>"INPUT STARTER IN COLUMN D"</formula>
    </cfRule>
  </conditionalFormatting>
  <conditionalFormatting sqref="P38">
    <cfRule type="cellIs" dxfId="265" priority="266" stopIfTrue="1" operator="equal">
      <formula>"INPUT STARTER IN COLUMN D"</formula>
    </cfRule>
  </conditionalFormatting>
  <conditionalFormatting sqref="P39">
    <cfRule type="cellIs" dxfId="264" priority="265" stopIfTrue="1" operator="equal">
      <formula>"INPUT STARTER IN COLUMN D"</formula>
    </cfRule>
  </conditionalFormatting>
  <conditionalFormatting sqref="P40">
    <cfRule type="cellIs" dxfId="263" priority="264" stopIfTrue="1" operator="equal">
      <formula>"INPUT STARTER IN COLUMN D"</formula>
    </cfRule>
  </conditionalFormatting>
  <conditionalFormatting sqref="P42">
    <cfRule type="cellIs" dxfId="262" priority="263" stopIfTrue="1" operator="equal">
      <formula>"INPUT STARTER IN COLUMN D"</formula>
    </cfRule>
  </conditionalFormatting>
  <conditionalFormatting sqref="P43">
    <cfRule type="cellIs" dxfId="261" priority="262" stopIfTrue="1" operator="equal">
      <formula>"INPUT STARTER IN COLUMN D"</formula>
    </cfRule>
  </conditionalFormatting>
  <conditionalFormatting sqref="P44">
    <cfRule type="cellIs" dxfId="260" priority="261" stopIfTrue="1" operator="equal">
      <formula>"INPUT STARTER IN COLUMN D"</formula>
    </cfRule>
  </conditionalFormatting>
  <conditionalFormatting sqref="P45">
    <cfRule type="cellIs" dxfId="259" priority="260" stopIfTrue="1" operator="equal">
      <formula>"INPUT STARTER IN COLUMN D"</formula>
    </cfRule>
  </conditionalFormatting>
  <conditionalFormatting sqref="P46">
    <cfRule type="cellIs" dxfId="258" priority="259" stopIfTrue="1" operator="equal">
      <formula>"INPUT STARTER IN COLUMN D"</formula>
    </cfRule>
  </conditionalFormatting>
  <conditionalFormatting sqref="P47">
    <cfRule type="cellIs" dxfId="257" priority="258" stopIfTrue="1" operator="equal">
      <formula>"INPUT STARTER IN COLUMN D"</formula>
    </cfRule>
  </conditionalFormatting>
  <conditionalFormatting sqref="P49">
    <cfRule type="cellIs" dxfId="256" priority="257" stopIfTrue="1" operator="equal">
      <formula>"INPUT STARTER IN COLUMN D"</formula>
    </cfRule>
  </conditionalFormatting>
  <conditionalFormatting sqref="P50">
    <cfRule type="cellIs" dxfId="255" priority="256" stopIfTrue="1" operator="equal">
      <formula>"INPUT STARTER IN COLUMN D"</formula>
    </cfRule>
  </conditionalFormatting>
  <conditionalFormatting sqref="P51">
    <cfRule type="cellIs" dxfId="254" priority="255" stopIfTrue="1" operator="equal">
      <formula>"INPUT STARTER IN COLUMN D"</formula>
    </cfRule>
  </conditionalFormatting>
  <conditionalFormatting sqref="P52">
    <cfRule type="cellIs" dxfId="253" priority="254" stopIfTrue="1" operator="equal">
      <formula>"INPUT STARTER IN COLUMN D"</formula>
    </cfRule>
  </conditionalFormatting>
  <conditionalFormatting sqref="P53">
    <cfRule type="cellIs" dxfId="252" priority="253" stopIfTrue="1" operator="equal">
      <formula>"INPUT STARTER IN COLUMN D"</formula>
    </cfRule>
  </conditionalFormatting>
  <conditionalFormatting sqref="P54">
    <cfRule type="cellIs" dxfId="251" priority="252" stopIfTrue="1" operator="equal">
      <formula>"INPUT STARTER IN COLUMN D"</formula>
    </cfRule>
  </conditionalFormatting>
  <conditionalFormatting sqref="P56">
    <cfRule type="cellIs" dxfId="250" priority="251" stopIfTrue="1" operator="equal">
      <formula>"INPUT STARTER IN COLUMN D"</formula>
    </cfRule>
  </conditionalFormatting>
  <conditionalFormatting sqref="P57">
    <cfRule type="cellIs" dxfId="249" priority="250" stopIfTrue="1" operator="equal">
      <formula>"INPUT STARTER IN COLUMN D"</formula>
    </cfRule>
  </conditionalFormatting>
  <conditionalFormatting sqref="P58">
    <cfRule type="cellIs" dxfId="248" priority="249" stopIfTrue="1" operator="equal">
      <formula>"INPUT STARTER IN COLUMN D"</formula>
    </cfRule>
  </conditionalFormatting>
  <conditionalFormatting sqref="P59">
    <cfRule type="cellIs" dxfId="247" priority="248" stopIfTrue="1" operator="equal">
      <formula>"INPUT STARTER IN COLUMN D"</formula>
    </cfRule>
  </conditionalFormatting>
  <conditionalFormatting sqref="P60">
    <cfRule type="cellIs" dxfId="246" priority="247" stopIfTrue="1" operator="equal">
      <formula>"INPUT STARTER IN COLUMN D"</formula>
    </cfRule>
  </conditionalFormatting>
  <conditionalFormatting sqref="P61">
    <cfRule type="cellIs" dxfId="245" priority="246" stopIfTrue="1" operator="equal">
      <formula>"INPUT STARTER IN COLUMN D"</formula>
    </cfRule>
  </conditionalFormatting>
  <conditionalFormatting sqref="P63">
    <cfRule type="cellIs" dxfId="244" priority="245" stopIfTrue="1" operator="equal">
      <formula>"INPUT STARTER IN COLUMN D"</formula>
    </cfRule>
  </conditionalFormatting>
  <conditionalFormatting sqref="P64">
    <cfRule type="cellIs" dxfId="243" priority="244" stopIfTrue="1" operator="equal">
      <formula>"INPUT STARTER IN COLUMN D"</formula>
    </cfRule>
  </conditionalFormatting>
  <conditionalFormatting sqref="P65">
    <cfRule type="cellIs" dxfId="242" priority="243" stopIfTrue="1" operator="equal">
      <formula>"INPUT STARTER IN COLUMN D"</formula>
    </cfRule>
  </conditionalFormatting>
  <conditionalFormatting sqref="P66">
    <cfRule type="cellIs" dxfId="241" priority="242" stopIfTrue="1" operator="equal">
      <formula>"INPUT STARTER IN COLUMN D"</formula>
    </cfRule>
  </conditionalFormatting>
  <conditionalFormatting sqref="P67">
    <cfRule type="cellIs" dxfId="240" priority="241" stopIfTrue="1" operator="equal">
      <formula>"INPUT STARTER IN COLUMN D"</formula>
    </cfRule>
  </conditionalFormatting>
  <conditionalFormatting sqref="P68">
    <cfRule type="cellIs" dxfId="239" priority="240" stopIfTrue="1" operator="equal">
      <formula>"INPUT STARTER IN COLUMN D"</formula>
    </cfRule>
  </conditionalFormatting>
  <conditionalFormatting sqref="P69">
    <cfRule type="cellIs" dxfId="238" priority="239" stopIfTrue="1" operator="equal">
      <formula>"INPUT STARTER IN COLUMN D"</formula>
    </cfRule>
  </conditionalFormatting>
  <conditionalFormatting sqref="P71">
    <cfRule type="cellIs" dxfId="237" priority="238" stopIfTrue="1" operator="equal">
      <formula>"INPUT STARTER IN COLUMN D"</formula>
    </cfRule>
  </conditionalFormatting>
  <conditionalFormatting sqref="P72">
    <cfRule type="cellIs" dxfId="236" priority="237" stopIfTrue="1" operator="equal">
      <formula>"INPUT STARTER IN COLUMN D"</formula>
    </cfRule>
  </conditionalFormatting>
  <conditionalFormatting sqref="P73">
    <cfRule type="cellIs" dxfId="235" priority="236" stopIfTrue="1" operator="equal">
      <formula>"INPUT STARTER IN COLUMN D"</formula>
    </cfRule>
  </conditionalFormatting>
  <conditionalFormatting sqref="P74">
    <cfRule type="cellIs" dxfId="234" priority="235" stopIfTrue="1" operator="equal">
      <formula>"INPUT STARTER IN COLUMN D"</formula>
    </cfRule>
  </conditionalFormatting>
  <conditionalFormatting sqref="P75">
    <cfRule type="cellIs" dxfId="233" priority="234" stopIfTrue="1" operator="equal">
      <formula>"INPUT STARTER IN COLUMN D"</formula>
    </cfRule>
  </conditionalFormatting>
  <conditionalFormatting sqref="P76">
    <cfRule type="cellIs" dxfId="232" priority="233" stopIfTrue="1" operator="equal">
      <formula>"INPUT STARTER IN COLUMN D"</formula>
    </cfRule>
  </conditionalFormatting>
  <conditionalFormatting sqref="P77">
    <cfRule type="cellIs" dxfId="231" priority="232" stopIfTrue="1" operator="equal">
      <formula>"INPUT STARTER IN COLUMN D"</formula>
    </cfRule>
  </conditionalFormatting>
  <conditionalFormatting sqref="P78">
    <cfRule type="cellIs" dxfId="230" priority="231" stopIfTrue="1" operator="equal">
      <formula>"INPUT STARTER IN COLUMN D"</formula>
    </cfRule>
  </conditionalFormatting>
  <conditionalFormatting sqref="P79">
    <cfRule type="cellIs" dxfId="229" priority="230" stopIfTrue="1" operator="equal">
      <formula>"INPUT STARTER IN COLUMN D"</formula>
    </cfRule>
  </conditionalFormatting>
  <conditionalFormatting sqref="P80">
    <cfRule type="cellIs" dxfId="228" priority="229" stopIfTrue="1" operator="equal">
      <formula>"INPUT STARTER IN COLUMN D"</formula>
    </cfRule>
  </conditionalFormatting>
  <conditionalFormatting sqref="P81">
    <cfRule type="cellIs" dxfId="227" priority="228" stopIfTrue="1" operator="equal">
      <formula>"INPUT STARTER IN COLUMN D"</formula>
    </cfRule>
  </conditionalFormatting>
  <conditionalFormatting sqref="P82">
    <cfRule type="cellIs" dxfId="226" priority="227" stopIfTrue="1" operator="equal">
      <formula>"INPUT STARTER IN COLUMN D"</formula>
    </cfRule>
  </conditionalFormatting>
  <conditionalFormatting sqref="P84">
    <cfRule type="cellIs" dxfId="225" priority="226" stopIfTrue="1" operator="equal">
      <formula>"INPUT STARTER IN COLUMN D"</formula>
    </cfRule>
  </conditionalFormatting>
  <conditionalFormatting sqref="P85">
    <cfRule type="cellIs" dxfId="224" priority="225" stopIfTrue="1" operator="equal">
      <formula>"INPUT STARTER IN COLUMN D"</formula>
    </cfRule>
  </conditionalFormatting>
  <conditionalFormatting sqref="P86">
    <cfRule type="cellIs" dxfId="223" priority="224" stopIfTrue="1" operator="equal">
      <formula>"INPUT STARTER IN COLUMN D"</formula>
    </cfRule>
  </conditionalFormatting>
  <conditionalFormatting sqref="P87">
    <cfRule type="cellIs" dxfId="222" priority="223" stopIfTrue="1" operator="equal">
      <formula>"INPUT STARTER IN COLUMN D"</formula>
    </cfRule>
  </conditionalFormatting>
  <conditionalFormatting sqref="P88">
    <cfRule type="cellIs" dxfId="221" priority="222" stopIfTrue="1" operator="equal">
      <formula>"INPUT STARTER IN COLUMN D"</formula>
    </cfRule>
  </conditionalFormatting>
  <conditionalFormatting sqref="P89">
    <cfRule type="cellIs" dxfId="220" priority="221" stopIfTrue="1" operator="equal">
      <formula>"INPUT STARTER IN COLUMN D"</formula>
    </cfRule>
  </conditionalFormatting>
  <conditionalFormatting sqref="P91">
    <cfRule type="cellIs" dxfId="219" priority="220" stopIfTrue="1" operator="equal">
      <formula>"INPUT STARTER IN COLUMN D"</formula>
    </cfRule>
  </conditionalFormatting>
  <conditionalFormatting sqref="P92">
    <cfRule type="cellIs" dxfId="218" priority="219" stopIfTrue="1" operator="equal">
      <formula>"INPUT STARTER IN COLUMN D"</formula>
    </cfRule>
  </conditionalFormatting>
  <conditionalFormatting sqref="P93">
    <cfRule type="cellIs" dxfId="217" priority="218" stopIfTrue="1" operator="equal">
      <formula>"INPUT STARTER IN COLUMN D"</formula>
    </cfRule>
  </conditionalFormatting>
  <conditionalFormatting sqref="P94">
    <cfRule type="cellIs" dxfId="216" priority="217" stopIfTrue="1" operator="equal">
      <formula>"INPUT STARTER IN COLUMN D"</formula>
    </cfRule>
  </conditionalFormatting>
  <conditionalFormatting sqref="P95">
    <cfRule type="cellIs" dxfId="215" priority="216" stopIfTrue="1" operator="equal">
      <formula>"INPUT STARTER IN COLUMN D"</formula>
    </cfRule>
  </conditionalFormatting>
  <conditionalFormatting sqref="P96">
    <cfRule type="cellIs" dxfId="214" priority="215" stopIfTrue="1" operator="equal">
      <formula>"INPUT STARTER IN COLUMN D"</formula>
    </cfRule>
  </conditionalFormatting>
  <conditionalFormatting sqref="P97">
    <cfRule type="cellIs" dxfId="213" priority="214" stopIfTrue="1" operator="equal">
      <formula>"INPUT STARTER IN COLUMN D"</formula>
    </cfRule>
  </conditionalFormatting>
  <conditionalFormatting sqref="P98">
    <cfRule type="cellIs" dxfId="212" priority="213" stopIfTrue="1" operator="equal">
      <formula>"INPUT STARTER IN COLUMN D"</formula>
    </cfRule>
  </conditionalFormatting>
  <conditionalFormatting sqref="P99">
    <cfRule type="cellIs" dxfId="211" priority="212" stopIfTrue="1" operator="equal">
      <formula>"INPUT STARTER IN COLUMN D"</formula>
    </cfRule>
  </conditionalFormatting>
  <conditionalFormatting sqref="P100">
    <cfRule type="cellIs" dxfId="210" priority="211" stopIfTrue="1" operator="equal">
      <formula>"INPUT STARTER IN COLUMN D"</formula>
    </cfRule>
  </conditionalFormatting>
  <conditionalFormatting sqref="P101">
    <cfRule type="cellIs" dxfId="209" priority="210" stopIfTrue="1" operator="equal">
      <formula>"INPUT STARTER IN COLUMN D"</formula>
    </cfRule>
  </conditionalFormatting>
  <conditionalFormatting sqref="P102">
    <cfRule type="cellIs" dxfId="208" priority="209" stopIfTrue="1" operator="equal">
      <formula>"INPUT STARTER IN COLUMN D"</formula>
    </cfRule>
  </conditionalFormatting>
  <conditionalFormatting sqref="P106">
    <cfRule type="cellIs" dxfId="207" priority="208" stopIfTrue="1" operator="equal">
      <formula>"INPUT STARTER IN COLUMN D"</formula>
    </cfRule>
  </conditionalFormatting>
  <conditionalFormatting sqref="P107">
    <cfRule type="cellIs" dxfId="206" priority="207" stopIfTrue="1" operator="equal">
      <formula>"INPUT STARTER IN COLUMN D"</formula>
    </cfRule>
  </conditionalFormatting>
  <conditionalFormatting sqref="P108">
    <cfRule type="cellIs" dxfId="205" priority="206" stopIfTrue="1" operator="equal">
      <formula>"INPUT STARTER IN COLUMN D"</formula>
    </cfRule>
  </conditionalFormatting>
  <conditionalFormatting sqref="P109">
    <cfRule type="cellIs" dxfId="204" priority="205" stopIfTrue="1" operator="equal">
      <formula>"INPUT STARTER IN COLUMN D"</formula>
    </cfRule>
  </conditionalFormatting>
  <conditionalFormatting sqref="P110">
    <cfRule type="cellIs" dxfId="203" priority="204" stopIfTrue="1" operator="equal">
      <formula>"INPUT STARTER IN COLUMN D"</formula>
    </cfRule>
  </conditionalFormatting>
  <conditionalFormatting sqref="P111">
    <cfRule type="cellIs" dxfId="202" priority="203" stopIfTrue="1" operator="equal">
      <formula>"INPUT STARTER IN COLUMN D"</formula>
    </cfRule>
  </conditionalFormatting>
  <conditionalFormatting sqref="P112">
    <cfRule type="cellIs" dxfId="201" priority="202" stopIfTrue="1" operator="equal">
      <formula>"INPUT STARTER IN COLUMN D"</formula>
    </cfRule>
  </conditionalFormatting>
  <conditionalFormatting sqref="P113">
    <cfRule type="cellIs" dxfId="200" priority="201" stopIfTrue="1" operator="equal">
      <formula>"INPUT STARTER IN COLUMN D"</formula>
    </cfRule>
  </conditionalFormatting>
  <conditionalFormatting sqref="P114">
    <cfRule type="cellIs" dxfId="199" priority="200" stopIfTrue="1" operator="equal">
      <formula>"INPUT STARTER IN COLUMN D"</formula>
    </cfRule>
  </conditionalFormatting>
  <conditionalFormatting sqref="P115">
    <cfRule type="cellIs" dxfId="198" priority="199" stopIfTrue="1" operator="equal">
      <formula>"INPUT STARTER IN COLUMN D"</formula>
    </cfRule>
  </conditionalFormatting>
  <conditionalFormatting sqref="P116">
    <cfRule type="cellIs" dxfId="197" priority="198" stopIfTrue="1" operator="equal">
      <formula>"INPUT STARTER IN COLUMN D"</formula>
    </cfRule>
  </conditionalFormatting>
  <conditionalFormatting sqref="P117">
    <cfRule type="cellIs" dxfId="196" priority="197" stopIfTrue="1" operator="equal">
      <formula>"INPUT STARTER IN COLUMN D"</formula>
    </cfRule>
  </conditionalFormatting>
  <conditionalFormatting sqref="P118">
    <cfRule type="cellIs" dxfId="195" priority="196" stopIfTrue="1" operator="equal">
      <formula>"INPUT STARTER IN COLUMN D"</formula>
    </cfRule>
  </conditionalFormatting>
  <conditionalFormatting sqref="P119">
    <cfRule type="cellIs" dxfId="194" priority="195" stopIfTrue="1" operator="equal">
      <formula>"INPUT STARTER IN COLUMN D"</formula>
    </cfRule>
  </conditionalFormatting>
  <conditionalFormatting sqref="P120">
    <cfRule type="cellIs" dxfId="193" priority="194" stopIfTrue="1" operator="equal">
      <formula>"INPUT STARTER IN COLUMN D"</formula>
    </cfRule>
  </conditionalFormatting>
  <conditionalFormatting sqref="P121">
    <cfRule type="cellIs" dxfId="192" priority="193" stopIfTrue="1" operator="equal">
      <formula>"INPUT STARTER IN COLUMN D"</formula>
    </cfRule>
  </conditionalFormatting>
  <conditionalFormatting sqref="P122">
    <cfRule type="cellIs" dxfId="191" priority="192" stopIfTrue="1" operator="equal">
      <formula>"INPUT STARTER IN COLUMN D"</formula>
    </cfRule>
  </conditionalFormatting>
  <conditionalFormatting sqref="P123">
    <cfRule type="cellIs" dxfId="190" priority="191" stopIfTrue="1" operator="equal">
      <formula>"INPUT STARTER IN COLUMN D"</formula>
    </cfRule>
  </conditionalFormatting>
  <conditionalFormatting sqref="P125">
    <cfRule type="cellIs" dxfId="189" priority="190" stopIfTrue="1" operator="equal">
      <formula>"INPUT STARTER IN COLUMN D"</formula>
    </cfRule>
  </conditionalFormatting>
  <conditionalFormatting sqref="P126">
    <cfRule type="cellIs" dxfId="188" priority="189" stopIfTrue="1" operator="equal">
      <formula>"INPUT STARTER IN COLUMN D"</formula>
    </cfRule>
  </conditionalFormatting>
  <conditionalFormatting sqref="P127">
    <cfRule type="cellIs" dxfId="187" priority="188" stopIfTrue="1" operator="equal">
      <formula>"INPUT STARTER IN COLUMN D"</formula>
    </cfRule>
  </conditionalFormatting>
  <conditionalFormatting sqref="P128">
    <cfRule type="cellIs" dxfId="186" priority="187" stopIfTrue="1" operator="equal">
      <formula>"INPUT STARTER IN COLUMN D"</formula>
    </cfRule>
  </conditionalFormatting>
  <conditionalFormatting sqref="P129">
    <cfRule type="cellIs" dxfId="185" priority="186" stopIfTrue="1" operator="equal">
      <formula>"INPUT STARTER IN COLUMN D"</formula>
    </cfRule>
  </conditionalFormatting>
  <conditionalFormatting sqref="P130">
    <cfRule type="cellIs" dxfId="184" priority="185" stopIfTrue="1" operator="equal">
      <formula>"INPUT STARTER IN COLUMN D"</formula>
    </cfRule>
  </conditionalFormatting>
  <conditionalFormatting sqref="P131">
    <cfRule type="cellIs" dxfId="183" priority="184" stopIfTrue="1" operator="equal">
      <formula>"INPUT STARTER IN COLUMN D"</formula>
    </cfRule>
  </conditionalFormatting>
  <conditionalFormatting sqref="P132">
    <cfRule type="cellIs" dxfId="182" priority="183" stopIfTrue="1" operator="equal">
      <formula>"INPUT STARTER IN COLUMN D"</formula>
    </cfRule>
  </conditionalFormatting>
  <conditionalFormatting sqref="P133">
    <cfRule type="cellIs" dxfId="181" priority="182" stopIfTrue="1" operator="equal">
      <formula>"INPUT STARTER IN COLUMN D"</formula>
    </cfRule>
  </conditionalFormatting>
  <conditionalFormatting sqref="P134">
    <cfRule type="cellIs" dxfId="180" priority="181" stopIfTrue="1" operator="equal">
      <formula>"INPUT STARTER IN COLUMN D"</formula>
    </cfRule>
  </conditionalFormatting>
  <conditionalFormatting sqref="P135">
    <cfRule type="cellIs" dxfId="179" priority="180" stopIfTrue="1" operator="equal">
      <formula>"INPUT STARTER IN COLUMN D"</formula>
    </cfRule>
  </conditionalFormatting>
  <conditionalFormatting sqref="P136">
    <cfRule type="cellIs" dxfId="178" priority="179" stopIfTrue="1" operator="equal">
      <formula>"INPUT STARTER IN COLUMN D"</formula>
    </cfRule>
  </conditionalFormatting>
  <conditionalFormatting sqref="P137">
    <cfRule type="cellIs" dxfId="177" priority="178" stopIfTrue="1" operator="equal">
      <formula>"INPUT STARTER IN COLUMN D"</formula>
    </cfRule>
  </conditionalFormatting>
  <conditionalFormatting sqref="P139">
    <cfRule type="cellIs" dxfId="176" priority="177" stopIfTrue="1" operator="equal">
      <formula>"INPUT STARTER IN COLUMN D"</formula>
    </cfRule>
  </conditionalFormatting>
  <conditionalFormatting sqref="P140">
    <cfRule type="cellIs" dxfId="175" priority="176" stopIfTrue="1" operator="equal">
      <formula>"INPUT STARTER IN COLUMN D"</formula>
    </cfRule>
  </conditionalFormatting>
  <conditionalFormatting sqref="P141">
    <cfRule type="cellIs" dxfId="174" priority="175" stopIfTrue="1" operator="equal">
      <formula>"INPUT STARTER IN COLUMN D"</formula>
    </cfRule>
  </conditionalFormatting>
  <conditionalFormatting sqref="P142">
    <cfRule type="cellIs" dxfId="173" priority="174" stopIfTrue="1" operator="equal">
      <formula>"INPUT STARTER IN COLUMN D"</formula>
    </cfRule>
  </conditionalFormatting>
  <conditionalFormatting sqref="P143">
    <cfRule type="cellIs" dxfId="172" priority="173" stopIfTrue="1" operator="equal">
      <formula>"INPUT STARTER IN COLUMN D"</formula>
    </cfRule>
  </conditionalFormatting>
  <conditionalFormatting sqref="P144">
    <cfRule type="cellIs" dxfId="171" priority="172" stopIfTrue="1" operator="equal">
      <formula>"INPUT STARTER IN COLUMN D"</formula>
    </cfRule>
  </conditionalFormatting>
  <conditionalFormatting sqref="P145">
    <cfRule type="cellIs" dxfId="170" priority="171" stopIfTrue="1" operator="equal">
      <formula>"INPUT STARTER IN COLUMN D"</formula>
    </cfRule>
  </conditionalFormatting>
  <conditionalFormatting sqref="P146">
    <cfRule type="cellIs" dxfId="169" priority="170" stopIfTrue="1" operator="equal">
      <formula>"INPUT STARTER IN COLUMN D"</formula>
    </cfRule>
  </conditionalFormatting>
  <conditionalFormatting sqref="P147">
    <cfRule type="cellIs" dxfId="168" priority="169" stopIfTrue="1" operator="equal">
      <formula>"INPUT STARTER IN COLUMN D"</formula>
    </cfRule>
  </conditionalFormatting>
  <conditionalFormatting sqref="P148">
    <cfRule type="cellIs" dxfId="167" priority="168" stopIfTrue="1" operator="equal">
      <formula>"INPUT STARTER IN COLUMN D"</formula>
    </cfRule>
  </conditionalFormatting>
  <conditionalFormatting sqref="P149">
    <cfRule type="cellIs" dxfId="166" priority="167" stopIfTrue="1" operator="equal">
      <formula>"INPUT STARTER IN COLUMN D"</formula>
    </cfRule>
  </conditionalFormatting>
  <conditionalFormatting sqref="P150">
    <cfRule type="cellIs" dxfId="165" priority="166" stopIfTrue="1" operator="equal">
      <formula>"INPUT STARTER IN COLUMN D"</formula>
    </cfRule>
  </conditionalFormatting>
  <conditionalFormatting sqref="P151">
    <cfRule type="cellIs" dxfId="164" priority="165" stopIfTrue="1" operator="equal">
      <formula>"INPUT STARTER IN COLUMN D"</formula>
    </cfRule>
  </conditionalFormatting>
  <conditionalFormatting sqref="P152">
    <cfRule type="cellIs" dxfId="163" priority="164" stopIfTrue="1" operator="equal">
      <formula>"INPUT STARTER IN COLUMN D"</formula>
    </cfRule>
  </conditionalFormatting>
  <conditionalFormatting sqref="P153">
    <cfRule type="cellIs" dxfId="162" priority="163" stopIfTrue="1" operator="equal">
      <formula>"INPUT STARTER IN COLUMN D"</formula>
    </cfRule>
  </conditionalFormatting>
  <conditionalFormatting sqref="P154">
    <cfRule type="cellIs" dxfId="161" priority="162" stopIfTrue="1" operator="equal">
      <formula>"INPUT STARTER IN COLUMN D"</formula>
    </cfRule>
  </conditionalFormatting>
  <conditionalFormatting sqref="P155">
    <cfRule type="cellIs" dxfId="160" priority="161" stopIfTrue="1" operator="equal">
      <formula>"INPUT STARTER IN COLUMN D"</formula>
    </cfRule>
  </conditionalFormatting>
  <conditionalFormatting sqref="P157">
    <cfRule type="cellIs" dxfId="159" priority="160" stopIfTrue="1" operator="equal">
      <formula>"INPUT STARTER IN COLUMN D"</formula>
    </cfRule>
  </conditionalFormatting>
  <conditionalFormatting sqref="P158">
    <cfRule type="cellIs" dxfId="158" priority="159" stopIfTrue="1" operator="equal">
      <formula>"INPUT STARTER IN COLUMN D"</formula>
    </cfRule>
  </conditionalFormatting>
  <conditionalFormatting sqref="P159">
    <cfRule type="cellIs" dxfId="157" priority="158" stopIfTrue="1" operator="equal">
      <formula>"INPUT STARTER IN COLUMN D"</formula>
    </cfRule>
  </conditionalFormatting>
  <conditionalFormatting sqref="P160">
    <cfRule type="cellIs" dxfId="156" priority="157" stopIfTrue="1" operator="equal">
      <formula>"INPUT STARTER IN COLUMN D"</formula>
    </cfRule>
  </conditionalFormatting>
  <conditionalFormatting sqref="P161">
    <cfRule type="cellIs" dxfId="155" priority="156" stopIfTrue="1" operator="equal">
      <formula>"INPUT STARTER IN COLUMN D"</formula>
    </cfRule>
  </conditionalFormatting>
  <conditionalFormatting sqref="P162">
    <cfRule type="cellIs" dxfId="154" priority="155" stopIfTrue="1" operator="equal">
      <formula>"INPUT STARTER IN COLUMN D"</formula>
    </cfRule>
  </conditionalFormatting>
  <conditionalFormatting sqref="P163">
    <cfRule type="cellIs" dxfId="153" priority="154" stopIfTrue="1" operator="equal">
      <formula>"INPUT STARTER IN COLUMN D"</formula>
    </cfRule>
  </conditionalFormatting>
  <conditionalFormatting sqref="P165">
    <cfRule type="cellIs" dxfId="152" priority="153" stopIfTrue="1" operator="equal">
      <formula>"INPUT STARTER IN COLUMN D"</formula>
    </cfRule>
  </conditionalFormatting>
  <conditionalFormatting sqref="P166">
    <cfRule type="cellIs" dxfId="151" priority="152" stopIfTrue="1" operator="equal">
      <formula>"INPUT STARTER IN COLUMN D"</formula>
    </cfRule>
  </conditionalFormatting>
  <conditionalFormatting sqref="P167">
    <cfRule type="cellIs" dxfId="150" priority="151" stopIfTrue="1" operator="equal">
      <formula>"INPUT STARTER IN COLUMN D"</formula>
    </cfRule>
  </conditionalFormatting>
  <conditionalFormatting sqref="P168">
    <cfRule type="cellIs" dxfId="149" priority="150" stopIfTrue="1" operator="equal">
      <formula>"INPUT STARTER IN COLUMN D"</formula>
    </cfRule>
  </conditionalFormatting>
  <conditionalFormatting sqref="P169">
    <cfRule type="cellIs" dxfId="148" priority="149" stopIfTrue="1" operator="equal">
      <formula>"INPUT STARTER IN COLUMN D"</formula>
    </cfRule>
  </conditionalFormatting>
  <conditionalFormatting sqref="P170">
    <cfRule type="cellIs" dxfId="147" priority="148" stopIfTrue="1" operator="equal">
      <formula>"INPUT STARTER IN COLUMN D"</formula>
    </cfRule>
  </conditionalFormatting>
  <conditionalFormatting sqref="P171">
    <cfRule type="cellIs" dxfId="146" priority="147" stopIfTrue="1" operator="equal">
      <formula>"INPUT STARTER IN COLUMN D"</formula>
    </cfRule>
  </conditionalFormatting>
  <conditionalFormatting sqref="P172">
    <cfRule type="cellIs" dxfId="145" priority="146" stopIfTrue="1" operator="equal">
      <formula>"INPUT STARTER IN COLUMN D"</formula>
    </cfRule>
  </conditionalFormatting>
  <conditionalFormatting sqref="P173">
    <cfRule type="cellIs" dxfId="144" priority="145" stopIfTrue="1" operator="equal">
      <formula>"INPUT STARTER IN COLUMN D"</formula>
    </cfRule>
  </conditionalFormatting>
  <conditionalFormatting sqref="P174">
    <cfRule type="cellIs" dxfId="143" priority="144" stopIfTrue="1" operator="equal">
      <formula>"INPUT STARTER IN COLUMN D"</formula>
    </cfRule>
  </conditionalFormatting>
  <conditionalFormatting sqref="P176">
    <cfRule type="cellIs" dxfId="142" priority="143" stopIfTrue="1" operator="equal">
      <formula>"INPUT STARTER IN COLUMN D"</formula>
    </cfRule>
  </conditionalFormatting>
  <conditionalFormatting sqref="P177">
    <cfRule type="cellIs" dxfId="141" priority="142" stopIfTrue="1" operator="equal">
      <formula>"INPUT STARTER IN COLUMN D"</formula>
    </cfRule>
  </conditionalFormatting>
  <conditionalFormatting sqref="P178">
    <cfRule type="cellIs" dxfId="140" priority="141" stopIfTrue="1" operator="equal">
      <formula>"INPUT STARTER IN COLUMN D"</formula>
    </cfRule>
  </conditionalFormatting>
  <conditionalFormatting sqref="P179">
    <cfRule type="cellIs" dxfId="139" priority="140" stopIfTrue="1" operator="equal">
      <formula>"INPUT STARTER IN COLUMN D"</formula>
    </cfRule>
  </conditionalFormatting>
  <conditionalFormatting sqref="P180">
    <cfRule type="cellIs" dxfId="138" priority="139" stopIfTrue="1" operator="equal">
      <formula>"INPUT STARTER IN COLUMN D"</formula>
    </cfRule>
  </conditionalFormatting>
  <conditionalFormatting sqref="P181">
    <cfRule type="cellIs" dxfId="137" priority="138" stopIfTrue="1" operator="equal">
      <formula>"INPUT STARTER IN COLUMN D"</formula>
    </cfRule>
  </conditionalFormatting>
  <conditionalFormatting sqref="P182">
    <cfRule type="cellIs" dxfId="136" priority="137" stopIfTrue="1" operator="equal">
      <formula>"INPUT STARTER IN COLUMN D"</formula>
    </cfRule>
  </conditionalFormatting>
  <conditionalFormatting sqref="P183">
    <cfRule type="cellIs" dxfId="135" priority="136" stopIfTrue="1" operator="equal">
      <formula>"INPUT STARTER IN COLUMN D"</formula>
    </cfRule>
  </conditionalFormatting>
  <conditionalFormatting sqref="P184">
    <cfRule type="cellIs" dxfId="134" priority="135" stopIfTrue="1" operator="equal">
      <formula>"INPUT STARTER IN COLUMN D"</formula>
    </cfRule>
  </conditionalFormatting>
  <conditionalFormatting sqref="P185">
    <cfRule type="cellIs" dxfId="133" priority="134" stopIfTrue="1" operator="equal">
      <formula>"INPUT STARTER IN COLUMN D"</formula>
    </cfRule>
  </conditionalFormatting>
  <conditionalFormatting sqref="AK3:AK22">
    <cfRule type="cellIs" dxfId="132" priority="133" stopIfTrue="1" operator="equal">
      <formula>"must average at least 5 innings per start"</formula>
    </cfRule>
  </conditionalFormatting>
  <conditionalFormatting sqref="AK23">
    <cfRule type="cellIs" dxfId="131" priority="132" stopIfTrue="1" operator="equal">
      <formula>"must have 162 starts"</formula>
    </cfRule>
  </conditionalFormatting>
  <conditionalFormatting sqref="AH3:AH22">
    <cfRule type="cellIs" dxfId="130" priority="131" stopIfTrue="1" operator="equal">
      <formula>"must average at least 5 innings per start"</formula>
    </cfRule>
  </conditionalFormatting>
  <conditionalFormatting sqref="AH23">
    <cfRule type="cellIs" dxfId="129" priority="130" stopIfTrue="1" operator="equal">
      <formula>"must have 162 starts"</formula>
    </cfRule>
  </conditionalFormatting>
  <conditionalFormatting sqref="AG3:AG22">
    <cfRule type="cellIs" dxfId="128" priority="129" stopIfTrue="1" operator="equal">
      <formula>"must average at least 5 innings per start"</formula>
    </cfRule>
  </conditionalFormatting>
  <conditionalFormatting sqref="AG23">
    <cfRule type="cellIs" dxfId="127" priority="128" stopIfTrue="1" operator="equal">
      <formula>"must have 162 starts"</formula>
    </cfRule>
  </conditionalFormatting>
  <conditionalFormatting sqref="AK3:AK22">
    <cfRule type="cellIs" dxfId="126" priority="127" stopIfTrue="1" operator="equal">
      <formula>"must average at least 5 innings per start"</formula>
    </cfRule>
  </conditionalFormatting>
  <conditionalFormatting sqref="AK23">
    <cfRule type="cellIs" dxfId="125" priority="126" stopIfTrue="1" operator="equal">
      <formula>"must have 162 starts"</formula>
    </cfRule>
  </conditionalFormatting>
  <conditionalFormatting sqref="AH3:AH22">
    <cfRule type="cellIs" dxfId="124" priority="125" stopIfTrue="1" operator="equal">
      <formula>"must average at least 5 innings per start"</formula>
    </cfRule>
  </conditionalFormatting>
  <conditionalFormatting sqref="AH23">
    <cfRule type="cellIs" dxfId="123" priority="124" stopIfTrue="1" operator="equal">
      <formula>"must have 162 starts"</formula>
    </cfRule>
  </conditionalFormatting>
  <conditionalFormatting sqref="AG3:AG22">
    <cfRule type="cellIs" dxfId="122" priority="123" stopIfTrue="1" operator="equal">
      <formula>"must average at least 5 innings per start"</formula>
    </cfRule>
  </conditionalFormatting>
  <conditionalFormatting sqref="AG23">
    <cfRule type="cellIs" dxfId="121" priority="122" stopIfTrue="1" operator="equal">
      <formula>"must have 162 starts"</formula>
    </cfRule>
  </conditionalFormatting>
  <conditionalFormatting sqref="AK3:AK22">
    <cfRule type="cellIs" dxfId="120" priority="121" stopIfTrue="1" operator="equal">
      <formula>"must average at least 5 innings per start"</formula>
    </cfRule>
  </conditionalFormatting>
  <conditionalFormatting sqref="AK23">
    <cfRule type="cellIs" dxfId="119" priority="120" stopIfTrue="1" operator="equal">
      <formula>"must have 162 starts"</formula>
    </cfRule>
  </conditionalFormatting>
  <conditionalFormatting sqref="AH3:AH22">
    <cfRule type="cellIs" dxfId="118" priority="119" stopIfTrue="1" operator="equal">
      <formula>"must average at least 5 innings per start"</formula>
    </cfRule>
  </conditionalFormatting>
  <conditionalFormatting sqref="AH23">
    <cfRule type="cellIs" dxfId="117" priority="118" stopIfTrue="1" operator="equal">
      <formula>"must have 162 starts"</formula>
    </cfRule>
  </conditionalFormatting>
  <conditionalFormatting sqref="AG3:AG22">
    <cfRule type="cellIs" dxfId="116" priority="117" stopIfTrue="1" operator="equal">
      <formula>"must average at least 5 innings per start"</formula>
    </cfRule>
  </conditionalFormatting>
  <conditionalFormatting sqref="AG23">
    <cfRule type="cellIs" dxfId="115" priority="116" stopIfTrue="1" operator="equal">
      <formula>"must have 162 starts"</formula>
    </cfRule>
  </conditionalFormatting>
  <conditionalFormatting sqref="AK3:AK22">
    <cfRule type="cellIs" dxfId="114" priority="115" stopIfTrue="1" operator="equal">
      <formula>"must average at least 5 innings per start"</formula>
    </cfRule>
  </conditionalFormatting>
  <conditionalFormatting sqref="AK23">
    <cfRule type="cellIs" dxfId="113" priority="114" stopIfTrue="1" operator="equal">
      <formula>"must have 162 starts"</formula>
    </cfRule>
  </conditionalFormatting>
  <conditionalFormatting sqref="AH3:AH22">
    <cfRule type="cellIs" dxfId="112" priority="113" stopIfTrue="1" operator="equal">
      <formula>"must average at least 5 innings per start"</formula>
    </cfRule>
  </conditionalFormatting>
  <conditionalFormatting sqref="AH23">
    <cfRule type="cellIs" dxfId="111" priority="112" stopIfTrue="1" operator="equal">
      <formula>"must have 162 starts"</formula>
    </cfRule>
  </conditionalFormatting>
  <conditionalFormatting sqref="AG3:AG22">
    <cfRule type="cellIs" dxfId="110" priority="111" stopIfTrue="1" operator="equal">
      <formula>"must average at least 5 innings per start"</formula>
    </cfRule>
  </conditionalFormatting>
  <conditionalFormatting sqref="AG23">
    <cfRule type="cellIs" dxfId="109" priority="110" stopIfTrue="1" operator="equal">
      <formula>"must have 162 starts"</formula>
    </cfRule>
  </conditionalFormatting>
  <conditionalFormatting sqref="AK3:AK22">
    <cfRule type="cellIs" dxfId="108" priority="109" stopIfTrue="1" operator="equal">
      <formula>"must average at least 5 innings per start"</formula>
    </cfRule>
  </conditionalFormatting>
  <conditionalFormatting sqref="AK23">
    <cfRule type="cellIs" dxfId="107" priority="108" stopIfTrue="1" operator="equal">
      <formula>"must have 162 starts"</formula>
    </cfRule>
  </conditionalFormatting>
  <conditionalFormatting sqref="AH3:AH22">
    <cfRule type="cellIs" dxfId="106" priority="107" stopIfTrue="1" operator="equal">
      <formula>"must average at least 5 innings per start"</formula>
    </cfRule>
  </conditionalFormatting>
  <conditionalFormatting sqref="AH23">
    <cfRule type="cellIs" dxfId="105" priority="106" stopIfTrue="1" operator="equal">
      <formula>"must have 162 starts"</formula>
    </cfRule>
  </conditionalFormatting>
  <conditionalFormatting sqref="AG3:AG22">
    <cfRule type="cellIs" dxfId="104" priority="105" stopIfTrue="1" operator="equal">
      <formula>"must average at least 5 innings per start"</formula>
    </cfRule>
  </conditionalFormatting>
  <conditionalFormatting sqref="AG23">
    <cfRule type="cellIs" dxfId="103" priority="104" stopIfTrue="1" operator="equal">
      <formula>"must have 162 starts"</formula>
    </cfRule>
  </conditionalFormatting>
  <conditionalFormatting sqref="AG3:AG22">
    <cfRule type="cellIs" dxfId="102" priority="103" stopIfTrue="1" operator="equal">
      <formula>"must average at least 5 innings per start"</formula>
    </cfRule>
  </conditionalFormatting>
  <conditionalFormatting sqref="AG23">
    <cfRule type="cellIs" dxfId="101" priority="102" stopIfTrue="1" operator="equal">
      <formula>"must have 162 starts"</formula>
    </cfRule>
  </conditionalFormatting>
  <conditionalFormatting sqref="AK3:AK22">
    <cfRule type="cellIs" dxfId="100" priority="101" stopIfTrue="1" operator="equal">
      <formula>"must average at least 5 innings per start"</formula>
    </cfRule>
  </conditionalFormatting>
  <conditionalFormatting sqref="AK23">
    <cfRule type="cellIs" dxfId="99" priority="100" stopIfTrue="1" operator="equal">
      <formula>"must have 162 starts"</formula>
    </cfRule>
  </conditionalFormatting>
  <conditionalFormatting sqref="AK3:AK22">
    <cfRule type="cellIs" dxfId="98" priority="99" stopIfTrue="1" operator="equal">
      <formula>"must average at least 5 innings per start"</formula>
    </cfRule>
  </conditionalFormatting>
  <conditionalFormatting sqref="AK23">
    <cfRule type="cellIs" dxfId="97" priority="98" stopIfTrue="1" operator="equal">
      <formula>"must have 162 starts"</formula>
    </cfRule>
  </conditionalFormatting>
  <conditionalFormatting sqref="AK3:AK22">
    <cfRule type="cellIs" dxfId="96" priority="97" stopIfTrue="1" operator="equal">
      <formula>"must average at least 5 innings per start"</formula>
    </cfRule>
  </conditionalFormatting>
  <conditionalFormatting sqref="AK23">
    <cfRule type="cellIs" dxfId="95" priority="96" stopIfTrue="1" operator="equal">
      <formula>"must have 162 starts"</formula>
    </cfRule>
  </conditionalFormatting>
  <conditionalFormatting sqref="AK3:AK22">
    <cfRule type="cellIs" dxfId="94" priority="95" stopIfTrue="1" operator="equal">
      <formula>"must average at least 5 innings per start"</formula>
    </cfRule>
  </conditionalFormatting>
  <conditionalFormatting sqref="AK23">
    <cfRule type="cellIs" dxfId="93" priority="94" stopIfTrue="1" operator="equal">
      <formula>"must have 162 starts"</formula>
    </cfRule>
  </conditionalFormatting>
  <conditionalFormatting sqref="AK3:AK22">
    <cfRule type="cellIs" dxfId="92" priority="93" stopIfTrue="1" operator="equal">
      <formula>"must average at least 5 innings per start"</formula>
    </cfRule>
  </conditionalFormatting>
  <conditionalFormatting sqref="AK23">
    <cfRule type="cellIs" dxfId="91" priority="92" stopIfTrue="1" operator="equal">
      <formula>"must have 162 starts"</formula>
    </cfRule>
  </conditionalFormatting>
  <conditionalFormatting sqref="AK3:AK22">
    <cfRule type="cellIs" dxfId="90" priority="91" stopIfTrue="1" operator="equal">
      <formula>"must average at least 5 innings per start"</formula>
    </cfRule>
  </conditionalFormatting>
  <conditionalFormatting sqref="AK23">
    <cfRule type="cellIs" dxfId="89" priority="90" stopIfTrue="1" operator="equal">
      <formula>"must have 162 starts"</formula>
    </cfRule>
  </conditionalFormatting>
  <conditionalFormatting sqref="AK3:AK22">
    <cfRule type="cellIs" dxfId="88" priority="89" stopIfTrue="1" operator="equal">
      <formula>"must average at least 5 innings per start"</formula>
    </cfRule>
  </conditionalFormatting>
  <conditionalFormatting sqref="AK23">
    <cfRule type="cellIs" dxfId="87" priority="88" stopIfTrue="1" operator="equal">
      <formula>"must have 162 starts"</formula>
    </cfRule>
  </conditionalFormatting>
  <conditionalFormatting sqref="AH3:AH22">
    <cfRule type="cellIs" dxfId="86" priority="87" stopIfTrue="1" operator="equal">
      <formula>"must average at least 5 innings per start"</formula>
    </cfRule>
  </conditionalFormatting>
  <conditionalFormatting sqref="AH23">
    <cfRule type="cellIs" dxfId="85" priority="86" stopIfTrue="1" operator="equal">
      <formula>"must have 162 starts"</formula>
    </cfRule>
  </conditionalFormatting>
  <conditionalFormatting sqref="AG3:AG22">
    <cfRule type="cellIs" dxfId="84" priority="85" stopIfTrue="1" operator="equal">
      <formula>"must average at least 5 innings per start"</formula>
    </cfRule>
  </conditionalFormatting>
  <conditionalFormatting sqref="AG23">
    <cfRule type="cellIs" dxfId="83" priority="84" stopIfTrue="1" operator="equal">
      <formula>"must have 162 starts"</formula>
    </cfRule>
  </conditionalFormatting>
  <conditionalFormatting sqref="AK3:AK22">
    <cfRule type="cellIs" dxfId="82" priority="83" stopIfTrue="1" operator="equal">
      <formula>"must average at least 5 innings per start"</formula>
    </cfRule>
  </conditionalFormatting>
  <conditionalFormatting sqref="AK23">
    <cfRule type="cellIs" dxfId="81" priority="82" stopIfTrue="1" operator="equal">
      <formula>"must have 162 starts"</formula>
    </cfRule>
  </conditionalFormatting>
  <conditionalFormatting sqref="AK3:AK22">
    <cfRule type="cellIs" dxfId="80" priority="81" stopIfTrue="1" operator="equal">
      <formula>"must average at least 5 innings per start"</formula>
    </cfRule>
  </conditionalFormatting>
  <conditionalFormatting sqref="AK23">
    <cfRule type="cellIs" dxfId="79" priority="80" stopIfTrue="1" operator="equal">
      <formula>"must have 162 starts"</formula>
    </cfRule>
  </conditionalFormatting>
  <conditionalFormatting sqref="AK3:AK22">
    <cfRule type="cellIs" dxfId="78" priority="79" stopIfTrue="1" operator="equal">
      <formula>"must average at least 5 innings per start"</formula>
    </cfRule>
  </conditionalFormatting>
  <conditionalFormatting sqref="AK23">
    <cfRule type="cellIs" dxfId="77" priority="78" stopIfTrue="1" operator="equal">
      <formula>"must have 162 starts"</formula>
    </cfRule>
  </conditionalFormatting>
  <conditionalFormatting sqref="AK3:AK22">
    <cfRule type="cellIs" dxfId="76" priority="77" stopIfTrue="1" operator="equal">
      <formula>"must average at least 5 innings per start"</formula>
    </cfRule>
  </conditionalFormatting>
  <conditionalFormatting sqref="AK23">
    <cfRule type="cellIs" dxfId="75" priority="76" stopIfTrue="1" operator="equal">
      <formula>"must have 162 starts"</formula>
    </cfRule>
  </conditionalFormatting>
  <conditionalFormatting sqref="AK3:AK22">
    <cfRule type="cellIs" dxfId="74" priority="75" stopIfTrue="1" operator="equal">
      <formula>"must average at least 5 innings per start"</formula>
    </cfRule>
  </conditionalFormatting>
  <conditionalFormatting sqref="AK23">
    <cfRule type="cellIs" dxfId="73" priority="74" stopIfTrue="1" operator="equal">
      <formula>"must have 162 starts"</formula>
    </cfRule>
  </conditionalFormatting>
  <conditionalFormatting sqref="AK3:AK22">
    <cfRule type="cellIs" dxfId="72" priority="73" stopIfTrue="1" operator="equal">
      <formula>"must average at least 5 innings per start"</formula>
    </cfRule>
  </conditionalFormatting>
  <conditionalFormatting sqref="AK23">
    <cfRule type="cellIs" dxfId="71" priority="72" stopIfTrue="1" operator="equal">
      <formula>"must have 162 starts"</formula>
    </cfRule>
  </conditionalFormatting>
  <conditionalFormatting sqref="AK3:AK22">
    <cfRule type="cellIs" dxfId="70" priority="71" stopIfTrue="1" operator="equal">
      <formula>"must average at least 5 innings per start"</formula>
    </cfRule>
  </conditionalFormatting>
  <conditionalFormatting sqref="AK23">
    <cfRule type="cellIs" dxfId="69" priority="70" stopIfTrue="1" operator="equal">
      <formula>"must have 162 starts"</formula>
    </cfRule>
  </conditionalFormatting>
  <conditionalFormatting sqref="AK3:AK22">
    <cfRule type="cellIs" dxfId="68" priority="69" stopIfTrue="1" operator="equal">
      <formula>"must average at least 5 innings per start"</formula>
    </cfRule>
  </conditionalFormatting>
  <conditionalFormatting sqref="AK23">
    <cfRule type="cellIs" dxfId="67" priority="68" stopIfTrue="1" operator="equal">
      <formula>"must have 162 starts"</formula>
    </cfRule>
  </conditionalFormatting>
  <conditionalFormatting sqref="AG3:AG22">
    <cfRule type="cellIs" dxfId="66" priority="67" stopIfTrue="1" operator="equal">
      <formula>"must average at least 5 innings per start"</formula>
    </cfRule>
  </conditionalFormatting>
  <conditionalFormatting sqref="AG23">
    <cfRule type="cellIs" dxfId="65" priority="66" stopIfTrue="1" operator="equal">
      <formula>"must have 162 starts"</formula>
    </cfRule>
  </conditionalFormatting>
  <conditionalFormatting sqref="AK3:AK22">
    <cfRule type="cellIs" dxfId="64" priority="65" stopIfTrue="1" operator="equal">
      <formula>"must average at least 5 innings per start"</formula>
    </cfRule>
  </conditionalFormatting>
  <conditionalFormatting sqref="AK23">
    <cfRule type="cellIs" dxfId="63" priority="64" stopIfTrue="1" operator="equal">
      <formula>"must have 162 starts"</formula>
    </cfRule>
  </conditionalFormatting>
  <conditionalFormatting sqref="AK3:AK22">
    <cfRule type="cellIs" dxfId="62" priority="63" stopIfTrue="1" operator="equal">
      <formula>"must average at least 5 innings per start"</formula>
    </cfRule>
  </conditionalFormatting>
  <conditionalFormatting sqref="AK23">
    <cfRule type="cellIs" dxfId="61" priority="62" stopIfTrue="1" operator="equal">
      <formula>"must have 162 starts"</formula>
    </cfRule>
  </conditionalFormatting>
  <conditionalFormatting sqref="AK3:AK22">
    <cfRule type="cellIs" dxfId="60" priority="61" stopIfTrue="1" operator="equal">
      <formula>"must average at least 5 innings per start"</formula>
    </cfRule>
  </conditionalFormatting>
  <conditionalFormatting sqref="AK23">
    <cfRule type="cellIs" dxfId="59" priority="60" stopIfTrue="1" operator="equal">
      <formula>"must have 162 starts"</formula>
    </cfRule>
  </conditionalFormatting>
  <conditionalFormatting sqref="AK3:AK22">
    <cfRule type="cellIs" dxfId="58" priority="59" stopIfTrue="1" operator="equal">
      <formula>"must average at least 5 innings per start"</formula>
    </cfRule>
  </conditionalFormatting>
  <conditionalFormatting sqref="AK23">
    <cfRule type="cellIs" dxfId="57" priority="58" stopIfTrue="1" operator="equal">
      <formula>"must have 162 starts"</formula>
    </cfRule>
  </conditionalFormatting>
  <conditionalFormatting sqref="AK3:AK22">
    <cfRule type="cellIs" dxfId="56" priority="57" stopIfTrue="1" operator="equal">
      <formula>"must average at least 5 innings per start"</formula>
    </cfRule>
  </conditionalFormatting>
  <conditionalFormatting sqref="AK23">
    <cfRule type="cellIs" dxfId="55" priority="56" stopIfTrue="1" operator="equal">
      <formula>"must have 162 starts"</formula>
    </cfRule>
  </conditionalFormatting>
  <conditionalFormatting sqref="AK3:AK22">
    <cfRule type="cellIs" dxfId="54" priority="55" stopIfTrue="1" operator="equal">
      <formula>"must average at least 5 innings per start"</formula>
    </cfRule>
  </conditionalFormatting>
  <conditionalFormatting sqref="AK23">
    <cfRule type="cellIs" dxfId="53" priority="54" stopIfTrue="1" operator="equal">
      <formula>"must have 162 starts"</formula>
    </cfRule>
  </conditionalFormatting>
  <conditionalFormatting sqref="AK3:AK22">
    <cfRule type="cellIs" dxfId="52" priority="53" stopIfTrue="1" operator="equal">
      <formula>"must average at least 5 innings per start"</formula>
    </cfRule>
  </conditionalFormatting>
  <conditionalFormatting sqref="AK23">
    <cfRule type="cellIs" dxfId="51" priority="52" stopIfTrue="1" operator="equal">
      <formula>"must have 162 starts"</formula>
    </cfRule>
  </conditionalFormatting>
  <conditionalFormatting sqref="AG3:AG22">
    <cfRule type="cellIs" dxfId="50" priority="51" stopIfTrue="1" operator="equal">
      <formula>"must average at least 5 innings per start"</formula>
    </cfRule>
  </conditionalFormatting>
  <conditionalFormatting sqref="AG23">
    <cfRule type="cellIs" dxfId="49" priority="50" stopIfTrue="1" operator="equal">
      <formula>"must have 162 starts"</formula>
    </cfRule>
  </conditionalFormatting>
  <conditionalFormatting sqref="AK3:AK22">
    <cfRule type="cellIs" dxfId="48" priority="49" stopIfTrue="1" operator="equal">
      <formula>"must average at least 5 innings per start"</formula>
    </cfRule>
  </conditionalFormatting>
  <conditionalFormatting sqref="AK23">
    <cfRule type="cellIs" dxfId="47" priority="48" stopIfTrue="1" operator="equal">
      <formula>"must have 162 starts"</formula>
    </cfRule>
  </conditionalFormatting>
  <conditionalFormatting sqref="AK3:AK22">
    <cfRule type="cellIs" dxfId="46" priority="47" stopIfTrue="1" operator="equal">
      <formula>"must average at least 5 innings per start"</formula>
    </cfRule>
  </conditionalFormatting>
  <conditionalFormatting sqref="AK23">
    <cfRule type="cellIs" dxfId="45" priority="46" stopIfTrue="1" operator="equal">
      <formula>"must have 162 starts"</formula>
    </cfRule>
  </conditionalFormatting>
  <conditionalFormatting sqref="AK3:AK22">
    <cfRule type="cellIs" dxfId="44" priority="45" stopIfTrue="1" operator="equal">
      <formula>"must average at least 5 innings per start"</formula>
    </cfRule>
  </conditionalFormatting>
  <conditionalFormatting sqref="AK23">
    <cfRule type="cellIs" dxfId="43" priority="44" stopIfTrue="1" operator="equal">
      <formula>"must have 162 starts"</formula>
    </cfRule>
  </conditionalFormatting>
  <conditionalFormatting sqref="AK3:AK22">
    <cfRule type="cellIs" dxfId="42" priority="43" stopIfTrue="1" operator="equal">
      <formula>"must average at least 5 innings per start"</formula>
    </cfRule>
  </conditionalFormatting>
  <conditionalFormatting sqref="AK23">
    <cfRule type="cellIs" dxfId="41" priority="42" stopIfTrue="1" operator="equal">
      <formula>"must have 162 starts"</formula>
    </cfRule>
  </conditionalFormatting>
  <conditionalFormatting sqref="AK3:AK22">
    <cfRule type="cellIs" dxfId="40" priority="41" stopIfTrue="1" operator="equal">
      <formula>"must average at least 5 innings per start"</formula>
    </cfRule>
  </conditionalFormatting>
  <conditionalFormatting sqref="AK23">
    <cfRule type="cellIs" dxfId="39" priority="40" stopIfTrue="1" operator="equal">
      <formula>"must have 162 starts"</formula>
    </cfRule>
  </conditionalFormatting>
  <conditionalFormatting sqref="AK3:AK22">
    <cfRule type="cellIs" dxfId="38" priority="39" stopIfTrue="1" operator="equal">
      <formula>"must average at least 5 innings per start"</formula>
    </cfRule>
  </conditionalFormatting>
  <conditionalFormatting sqref="AK23">
    <cfRule type="cellIs" dxfId="37" priority="38" stopIfTrue="1" operator="equal">
      <formula>"must have 162 starts"</formula>
    </cfRule>
  </conditionalFormatting>
  <conditionalFormatting sqref="AG3:AG22">
    <cfRule type="cellIs" dxfId="36" priority="37" stopIfTrue="1" operator="equal">
      <formula>"must average at least 5 innings per start"</formula>
    </cfRule>
  </conditionalFormatting>
  <conditionalFormatting sqref="AG23">
    <cfRule type="cellIs" dxfId="35" priority="36" stopIfTrue="1" operator="equal">
      <formula>"must have 162 starts"</formula>
    </cfRule>
  </conditionalFormatting>
  <conditionalFormatting sqref="AK3:AK22">
    <cfRule type="cellIs" dxfId="34" priority="35" stopIfTrue="1" operator="equal">
      <formula>"must average at least 5 innings per start"</formula>
    </cfRule>
  </conditionalFormatting>
  <conditionalFormatting sqref="AK23">
    <cfRule type="cellIs" dxfId="33" priority="34" stopIfTrue="1" operator="equal">
      <formula>"must have 162 starts"</formula>
    </cfRule>
  </conditionalFormatting>
  <conditionalFormatting sqref="AK3:AK22">
    <cfRule type="cellIs" dxfId="32" priority="33" stopIfTrue="1" operator="equal">
      <formula>"must average at least 5 innings per start"</formula>
    </cfRule>
  </conditionalFormatting>
  <conditionalFormatting sqref="AK23">
    <cfRule type="cellIs" dxfId="31" priority="32" stopIfTrue="1" operator="equal">
      <formula>"must have 162 starts"</formula>
    </cfRule>
  </conditionalFormatting>
  <conditionalFormatting sqref="AK3:AK22">
    <cfRule type="cellIs" dxfId="30" priority="31" stopIfTrue="1" operator="equal">
      <formula>"must average at least 5 innings per start"</formula>
    </cfRule>
  </conditionalFormatting>
  <conditionalFormatting sqref="AK23">
    <cfRule type="cellIs" dxfId="29" priority="30" stopIfTrue="1" operator="equal">
      <formula>"must have 162 starts"</formula>
    </cfRule>
  </conditionalFormatting>
  <conditionalFormatting sqref="AK3:AK22">
    <cfRule type="cellIs" dxfId="28" priority="29" stopIfTrue="1" operator="equal">
      <formula>"must average at least 5 innings per start"</formula>
    </cfRule>
  </conditionalFormatting>
  <conditionalFormatting sqref="AK23">
    <cfRule type="cellIs" dxfId="27" priority="28" stopIfTrue="1" operator="equal">
      <formula>"must have 162 starts"</formula>
    </cfRule>
  </conditionalFormatting>
  <conditionalFormatting sqref="AK3:AK22">
    <cfRule type="cellIs" dxfId="26" priority="27" stopIfTrue="1" operator="equal">
      <formula>"must average at least 5 innings per start"</formula>
    </cfRule>
  </conditionalFormatting>
  <conditionalFormatting sqref="AK23">
    <cfRule type="cellIs" dxfId="25" priority="26" stopIfTrue="1" operator="equal">
      <formula>"must have 162 starts"</formula>
    </cfRule>
  </conditionalFormatting>
  <conditionalFormatting sqref="AG3:AG22">
    <cfRule type="cellIs" dxfId="24" priority="25" stopIfTrue="1" operator="equal">
      <formula>"must average at least 5 innings per start"</formula>
    </cfRule>
  </conditionalFormatting>
  <conditionalFormatting sqref="AG23">
    <cfRule type="cellIs" dxfId="23" priority="24" stopIfTrue="1" operator="equal">
      <formula>"must have 162 starts"</formula>
    </cfRule>
  </conditionalFormatting>
  <conditionalFormatting sqref="AK3:AK22">
    <cfRule type="cellIs" dxfId="22" priority="23" stopIfTrue="1" operator="equal">
      <formula>"must average at least 5 innings per start"</formula>
    </cfRule>
  </conditionalFormatting>
  <conditionalFormatting sqref="AK23">
    <cfRule type="cellIs" dxfId="21" priority="22" stopIfTrue="1" operator="equal">
      <formula>"must have 162 starts"</formula>
    </cfRule>
  </conditionalFormatting>
  <conditionalFormatting sqref="AK3:AK22">
    <cfRule type="cellIs" dxfId="20" priority="21" stopIfTrue="1" operator="equal">
      <formula>"must average at least 5 innings per start"</formula>
    </cfRule>
  </conditionalFormatting>
  <conditionalFormatting sqref="AK23">
    <cfRule type="cellIs" dxfId="19" priority="20" stopIfTrue="1" operator="equal">
      <formula>"must have 162 starts"</formula>
    </cfRule>
  </conditionalFormatting>
  <conditionalFormatting sqref="AK3:AK22">
    <cfRule type="cellIs" dxfId="18" priority="19" stopIfTrue="1" operator="equal">
      <formula>"must average at least 5 innings per start"</formula>
    </cfRule>
  </conditionalFormatting>
  <conditionalFormatting sqref="AK23">
    <cfRule type="cellIs" dxfId="17" priority="18" stopIfTrue="1" operator="equal">
      <formula>"must have 162 starts"</formula>
    </cfRule>
  </conditionalFormatting>
  <conditionalFormatting sqref="AK3:AK22">
    <cfRule type="cellIs" dxfId="16" priority="17" stopIfTrue="1" operator="equal">
      <formula>"must average at least 5 innings per start"</formula>
    </cfRule>
  </conditionalFormatting>
  <conditionalFormatting sqref="AK23">
    <cfRule type="cellIs" dxfId="15" priority="16" stopIfTrue="1" operator="equal">
      <formula>"must have 162 starts"</formula>
    </cfRule>
  </conditionalFormatting>
  <conditionalFormatting sqref="AG3:AG22">
    <cfRule type="cellIs" dxfId="14" priority="15" stopIfTrue="1" operator="equal">
      <formula>"must average at least 5 innings per start"</formula>
    </cfRule>
  </conditionalFormatting>
  <conditionalFormatting sqref="AG23">
    <cfRule type="cellIs" dxfId="13" priority="14" stopIfTrue="1" operator="equal">
      <formula>"must have 162 starts"</formula>
    </cfRule>
  </conditionalFormatting>
  <conditionalFormatting sqref="AK3:AK22">
    <cfRule type="cellIs" dxfId="12" priority="13" stopIfTrue="1" operator="equal">
      <formula>"must average at least 5 innings per start"</formula>
    </cfRule>
  </conditionalFormatting>
  <conditionalFormatting sqref="AK23">
    <cfRule type="cellIs" dxfId="11" priority="12" stopIfTrue="1" operator="equal">
      <formula>"must have 162 starts"</formula>
    </cfRule>
  </conditionalFormatting>
  <conditionalFormatting sqref="AK3:AK22">
    <cfRule type="cellIs" dxfId="10" priority="11" stopIfTrue="1" operator="equal">
      <formula>"must average at least 5 innings per start"</formula>
    </cfRule>
  </conditionalFormatting>
  <conditionalFormatting sqref="AK23">
    <cfRule type="cellIs" dxfId="9" priority="10" stopIfTrue="1" operator="equal">
      <formula>"must have 162 starts"</formula>
    </cfRule>
  </conditionalFormatting>
  <conditionalFormatting sqref="AK3:AK22">
    <cfRule type="cellIs" dxfId="8" priority="9" stopIfTrue="1" operator="equal">
      <formula>"must average at least 5 innings per start"</formula>
    </cfRule>
  </conditionalFormatting>
  <conditionalFormatting sqref="AK23">
    <cfRule type="cellIs" dxfId="7" priority="8" stopIfTrue="1" operator="equal">
      <formula>"must have 162 starts"</formula>
    </cfRule>
  </conditionalFormatting>
  <conditionalFormatting sqref="AG3:AG22">
    <cfRule type="cellIs" dxfId="6" priority="7" stopIfTrue="1" operator="equal">
      <formula>"must average at least 5 innings per start"</formula>
    </cfRule>
  </conditionalFormatting>
  <conditionalFormatting sqref="AG23">
    <cfRule type="cellIs" dxfId="5" priority="6" stopIfTrue="1" operator="equal">
      <formula>"must have 162 starts"</formula>
    </cfRule>
  </conditionalFormatting>
  <conditionalFormatting sqref="AK3:AK22">
    <cfRule type="cellIs" dxfId="4" priority="5" stopIfTrue="1" operator="equal">
      <formula>"must average at least 5 innings per start"</formula>
    </cfRule>
  </conditionalFormatting>
  <conditionalFormatting sqref="AK23">
    <cfRule type="cellIs" dxfId="3" priority="4" stopIfTrue="1" operator="equal">
      <formula>"must have 162 starts"</formula>
    </cfRule>
  </conditionalFormatting>
  <conditionalFormatting sqref="AG3:AG22">
    <cfRule type="cellIs" dxfId="2" priority="3" stopIfTrue="1" operator="equal">
      <formula>"must average at least 5 innings per start"</formula>
    </cfRule>
  </conditionalFormatting>
  <conditionalFormatting sqref="AG23">
    <cfRule type="cellIs" dxfId="1" priority="2" stopIfTrue="1" operator="equal">
      <formula>"must have 162 starts"</formula>
    </cfRule>
  </conditionalFormatting>
  <conditionalFormatting sqref="Q2">
    <cfRule type="cellIs" dxfId="0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0717" divId="ROTcheck_20717" sourceType="sheet" destinationFile="C:\1kading\schedule\skedmcc.html"/>
    <webPublishItem id="2192" divId="ROTcheck_2192" sourceType="range" sourceRef="A1:O193" destinationFile="C:\1kading\schedule\skedmcc.html"/>
    <webPublishItem id="19563" divId="ROTcheck_19563" sourceType="range" sourceRef="A156:O185" destinationFile="C:\1kading\schedule\skedmcc.html"/>
  </webPublishItem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X713"/>
  <sheetViews>
    <sheetView zoomScale="90" zoomScaleNormal="90" workbookViewId="0"/>
  </sheetViews>
  <sheetFormatPr defaultRowHeight="15"/>
  <cols>
    <col min="1" max="1" width="5.5703125" style="64" bestFit="1" customWidth="1"/>
    <col min="2" max="2" width="22.7109375" style="65" bestFit="1" customWidth="1"/>
    <col min="3" max="3" width="15.42578125" style="65" bestFit="1" customWidth="1"/>
    <col min="4" max="4" width="11.28515625" style="65" bestFit="1" customWidth="1"/>
    <col min="5" max="5" width="5.85546875" style="64" bestFit="1" customWidth="1"/>
    <col min="6" max="6" width="4.7109375" style="64" bestFit="1" customWidth="1"/>
    <col min="7" max="7" width="4.42578125" style="64" bestFit="1" customWidth="1"/>
    <col min="8" max="8" width="4.28515625" style="64" bestFit="1" customWidth="1"/>
    <col min="9" max="9" width="4.140625" style="64" bestFit="1" customWidth="1"/>
    <col min="10" max="11" width="2.140625" style="64" bestFit="1" customWidth="1"/>
    <col min="12" max="12" width="5.140625" style="64" bestFit="1" customWidth="1"/>
    <col min="13" max="13" width="5.28515625" style="64" bestFit="1" customWidth="1"/>
    <col min="14" max="14" width="3.42578125" style="64" bestFit="1" customWidth="1"/>
    <col min="15" max="15" width="3.5703125" style="64" bestFit="1" customWidth="1"/>
    <col min="16" max="16" width="7.28515625" style="64" bestFit="1" customWidth="1"/>
    <col min="17" max="17" width="3.140625" style="64" bestFit="1" customWidth="1"/>
    <col min="18" max="18" width="3.28515625" style="64" bestFit="1" customWidth="1"/>
    <col min="19" max="19" width="3.42578125" style="64" bestFit="1" customWidth="1"/>
    <col min="20" max="20" width="3.28515625" style="64" bestFit="1" customWidth="1"/>
    <col min="21" max="21" width="4.140625" style="64" bestFit="1" customWidth="1"/>
    <col min="22" max="22" width="3.42578125" style="64" bestFit="1" customWidth="1"/>
    <col min="23" max="23" width="4.42578125" style="64" bestFit="1" customWidth="1"/>
    <col min="24" max="24" width="9.28515625" style="64" bestFit="1" customWidth="1"/>
    <col min="25" max="16384" width="9.140625" style="64"/>
  </cols>
  <sheetData>
    <row r="1" spans="1:24" s="59" customFormat="1" ht="30" customHeight="1">
      <c r="A1" s="54" t="s">
        <v>63</v>
      </c>
      <c r="B1" s="55" t="s">
        <v>1192</v>
      </c>
      <c r="C1" s="56" t="s">
        <v>64</v>
      </c>
      <c r="D1" s="56" t="s">
        <v>65</v>
      </c>
      <c r="E1" s="54" t="s">
        <v>66</v>
      </c>
      <c r="F1" s="54" t="s">
        <v>67</v>
      </c>
      <c r="G1" s="57" t="s">
        <v>68</v>
      </c>
      <c r="H1" s="57" t="s">
        <v>69</v>
      </c>
      <c r="I1" s="57" t="s">
        <v>70</v>
      </c>
      <c r="J1" s="57" t="s">
        <v>71</v>
      </c>
      <c r="K1" s="57" t="s">
        <v>72</v>
      </c>
      <c r="L1" s="57" t="s">
        <v>73</v>
      </c>
      <c r="M1" s="57" t="s">
        <v>74</v>
      </c>
      <c r="N1" s="57" t="s">
        <v>75</v>
      </c>
      <c r="O1" s="57" t="s">
        <v>76</v>
      </c>
      <c r="P1" s="57" t="s">
        <v>5</v>
      </c>
      <c r="Q1" s="58" t="s">
        <v>77</v>
      </c>
      <c r="R1" s="58" t="s">
        <v>78</v>
      </c>
      <c r="S1" s="58" t="s">
        <v>79</v>
      </c>
      <c r="T1" s="58" t="s">
        <v>80</v>
      </c>
      <c r="U1" s="58" t="s">
        <v>81</v>
      </c>
      <c r="V1" s="58" t="s">
        <v>82</v>
      </c>
      <c r="W1" s="58" t="s">
        <v>83</v>
      </c>
      <c r="X1" s="57" t="s">
        <v>84</v>
      </c>
    </row>
    <row r="2" spans="1:24">
      <c r="A2" s="60">
        <v>508</v>
      </c>
      <c r="B2" s="61" t="s">
        <v>1463</v>
      </c>
      <c r="C2" s="62" t="s">
        <v>1464</v>
      </c>
      <c r="D2" s="62" t="s">
        <v>358</v>
      </c>
      <c r="E2" s="60" t="s">
        <v>149</v>
      </c>
      <c r="F2" s="60" t="s">
        <v>87</v>
      </c>
      <c r="G2" s="60" t="s">
        <v>155</v>
      </c>
      <c r="H2" s="60" t="s">
        <v>707</v>
      </c>
      <c r="I2" s="60" t="s">
        <v>90</v>
      </c>
      <c r="J2" s="60" t="s">
        <v>2</v>
      </c>
      <c r="K2" s="60" t="s">
        <v>2</v>
      </c>
      <c r="L2" s="60" t="s">
        <v>87</v>
      </c>
      <c r="M2" s="60">
        <v>31</v>
      </c>
      <c r="N2" s="60" t="s">
        <v>87</v>
      </c>
      <c r="O2" s="60">
        <v>5</v>
      </c>
      <c r="P2" s="60" t="s">
        <v>708</v>
      </c>
      <c r="Q2" s="60" t="s">
        <v>24</v>
      </c>
      <c r="R2" s="60" t="s">
        <v>92</v>
      </c>
      <c r="S2" s="60" t="s">
        <v>38</v>
      </c>
      <c r="T2" s="60" t="s">
        <v>94</v>
      </c>
      <c r="U2" s="60" t="s">
        <v>101</v>
      </c>
      <c r="V2" s="60" t="s">
        <v>92</v>
      </c>
      <c r="W2" s="60" t="s">
        <v>93</v>
      </c>
      <c r="X2" s="63" t="s">
        <v>95</v>
      </c>
    </row>
    <row r="3" spans="1:24">
      <c r="A3" s="60">
        <v>323</v>
      </c>
      <c r="B3" s="61" t="s">
        <v>709</v>
      </c>
      <c r="C3" s="62" t="s">
        <v>710</v>
      </c>
      <c r="D3" s="62" t="s">
        <v>711</v>
      </c>
      <c r="E3" s="60" t="s">
        <v>50</v>
      </c>
      <c r="F3" s="60" t="s">
        <v>87</v>
      </c>
      <c r="G3" s="60" t="s">
        <v>182</v>
      </c>
      <c r="H3" s="60" t="s">
        <v>707</v>
      </c>
      <c r="I3" s="60" t="s">
        <v>101</v>
      </c>
      <c r="J3" s="60" t="s">
        <v>3</v>
      </c>
      <c r="K3" s="60" t="s">
        <v>3</v>
      </c>
      <c r="L3" s="60" t="s">
        <v>87</v>
      </c>
      <c r="M3" s="60">
        <v>48</v>
      </c>
      <c r="N3" s="60" t="s">
        <v>87</v>
      </c>
      <c r="O3" s="60">
        <v>8</v>
      </c>
      <c r="P3" s="60" t="s">
        <v>714</v>
      </c>
      <c r="Q3" s="60" t="s">
        <v>22</v>
      </c>
      <c r="R3" s="60" t="s">
        <v>92</v>
      </c>
      <c r="S3" s="60" t="s">
        <v>38</v>
      </c>
      <c r="T3" s="60" t="s">
        <v>94</v>
      </c>
      <c r="U3" s="60" t="s">
        <v>108</v>
      </c>
      <c r="V3" s="60" t="s">
        <v>92</v>
      </c>
      <c r="W3" s="60" t="s">
        <v>108</v>
      </c>
      <c r="X3" s="63" t="s">
        <v>102</v>
      </c>
    </row>
    <row r="4" spans="1:24">
      <c r="A4" s="60">
        <v>1011</v>
      </c>
      <c r="B4" s="61" t="s">
        <v>1270</v>
      </c>
      <c r="C4" s="62" t="s">
        <v>1271</v>
      </c>
      <c r="D4" s="62" t="s">
        <v>674</v>
      </c>
      <c r="E4" s="60" t="s">
        <v>98</v>
      </c>
      <c r="F4" s="60" t="s">
        <v>87</v>
      </c>
      <c r="G4" s="60" t="s">
        <v>150</v>
      </c>
      <c r="H4" s="60" t="s">
        <v>707</v>
      </c>
      <c r="I4" s="60" t="s">
        <v>90</v>
      </c>
      <c r="J4" s="60" t="s">
        <v>2</v>
      </c>
      <c r="K4" s="60" t="s">
        <v>2</v>
      </c>
      <c r="L4" s="60" t="s">
        <v>87</v>
      </c>
      <c r="M4" s="60">
        <v>14</v>
      </c>
      <c r="N4" s="60" t="s">
        <v>87</v>
      </c>
      <c r="O4" s="60">
        <v>3</v>
      </c>
      <c r="P4" s="60" t="s">
        <v>727</v>
      </c>
      <c r="Q4" s="60" t="s">
        <v>19</v>
      </c>
      <c r="R4" s="60" t="s">
        <v>21</v>
      </c>
      <c r="S4" s="60" t="s">
        <v>38</v>
      </c>
      <c r="T4" s="60" t="s">
        <v>94</v>
      </c>
      <c r="U4" s="60" t="s">
        <v>93</v>
      </c>
      <c r="V4" s="60" t="s">
        <v>94</v>
      </c>
      <c r="W4" s="60" t="s">
        <v>93</v>
      </c>
      <c r="X4" s="63" t="s">
        <v>95</v>
      </c>
    </row>
    <row r="5" spans="1:24">
      <c r="A5" s="60">
        <v>119</v>
      </c>
      <c r="B5" s="61" t="s">
        <v>1272</v>
      </c>
      <c r="C5" s="62" t="s">
        <v>713</v>
      </c>
      <c r="D5" s="62" t="s">
        <v>1273</v>
      </c>
      <c r="E5" s="60" t="s">
        <v>146</v>
      </c>
      <c r="F5" s="60" t="s">
        <v>87</v>
      </c>
      <c r="G5" s="60" t="s">
        <v>164</v>
      </c>
      <c r="H5" s="60" t="s">
        <v>707</v>
      </c>
      <c r="I5" s="60" t="s">
        <v>101</v>
      </c>
      <c r="J5" s="60" t="s">
        <v>2</v>
      </c>
      <c r="K5" s="60" t="s">
        <v>2</v>
      </c>
      <c r="L5" s="60" t="s">
        <v>87</v>
      </c>
      <c r="M5" s="60">
        <v>34</v>
      </c>
      <c r="N5" s="60" t="s">
        <v>87</v>
      </c>
      <c r="O5" s="60">
        <v>11</v>
      </c>
      <c r="P5" s="60" t="s">
        <v>778</v>
      </c>
      <c r="Q5" s="60" t="s">
        <v>92</v>
      </c>
      <c r="R5" s="60" t="s">
        <v>21</v>
      </c>
      <c r="S5" s="60" t="s">
        <v>37</v>
      </c>
      <c r="T5" s="60" t="s">
        <v>94</v>
      </c>
      <c r="U5" s="60" t="s">
        <v>101</v>
      </c>
      <c r="V5" s="60" t="s">
        <v>94</v>
      </c>
      <c r="W5" s="60" t="s">
        <v>93</v>
      </c>
      <c r="X5" s="63" t="s">
        <v>102</v>
      </c>
    </row>
    <row r="6" spans="1:24">
      <c r="A6" s="60">
        <v>1165</v>
      </c>
      <c r="B6" s="61" t="s">
        <v>1274</v>
      </c>
      <c r="C6" s="62" t="s">
        <v>1275</v>
      </c>
      <c r="D6" s="62" t="s">
        <v>284</v>
      </c>
      <c r="E6" s="60" t="s">
        <v>128</v>
      </c>
      <c r="F6" s="60" t="s">
        <v>87</v>
      </c>
      <c r="G6" s="60" t="s">
        <v>99</v>
      </c>
      <c r="H6" s="60" t="s">
        <v>707</v>
      </c>
      <c r="I6" s="60" t="s">
        <v>90</v>
      </c>
      <c r="J6" s="60" t="s">
        <v>2</v>
      </c>
      <c r="K6" s="60" t="s">
        <v>2</v>
      </c>
      <c r="L6" s="60" t="s">
        <v>87</v>
      </c>
      <c r="M6" s="60">
        <v>18</v>
      </c>
      <c r="N6" s="60" t="s">
        <v>87</v>
      </c>
      <c r="O6" s="60">
        <v>4</v>
      </c>
      <c r="P6" s="60" t="s">
        <v>754</v>
      </c>
      <c r="Q6" s="60" t="s">
        <v>92</v>
      </c>
      <c r="R6" s="60" t="s">
        <v>21</v>
      </c>
      <c r="S6" s="60" t="s">
        <v>3</v>
      </c>
      <c r="T6" s="60" t="s">
        <v>94</v>
      </c>
      <c r="U6" s="60" t="s">
        <v>108</v>
      </c>
      <c r="V6" s="60" t="s">
        <v>92</v>
      </c>
      <c r="W6" s="60" t="s">
        <v>93</v>
      </c>
      <c r="X6" s="63" t="s">
        <v>95</v>
      </c>
    </row>
    <row r="7" spans="1:24">
      <c r="A7" s="60">
        <v>868</v>
      </c>
      <c r="B7" s="61" t="s">
        <v>715</v>
      </c>
      <c r="C7" s="62" t="s">
        <v>716</v>
      </c>
      <c r="D7" s="62" t="s">
        <v>173</v>
      </c>
      <c r="E7" s="60" t="s">
        <v>190</v>
      </c>
      <c r="F7" s="60" t="s">
        <v>87</v>
      </c>
      <c r="G7" s="60" t="s">
        <v>129</v>
      </c>
      <c r="H7" s="60" t="s">
        <v>707</v>
      </c>
      <c r="I7" s="60" t="s">
        <v>101</v>
      </c>
      <c r="J7" s="60" t="s">
        <v>3</v>
      </c>
      <c r="K7" s="60" t="s">
        <v>3</v>
      </c>
      <c r="L7" s="60" t="s">
        <v>87</v>
      </c>
      <c r="M7" s="60">
        <v>36</v>
      </c>
      <c r="N7" s="60" t="s">
        <v>87</v>
      </c>
      <c r="O7" s="60">
        <v>3</v>
      </c>
      <c r="P7" s="60" t="s">
        <v>727</v>
      </c>
      <c r="Q7" s="60" t="s">
        <v>92</v>
      </c>
      <c r="R7" s="60" t="s">
        <v>92</v>
      </c>
      <c r="S7" s="60" t="s">
        <v>3</v>
      </c>
      <c r="T7" s="60" t="s">
        <v>94</v>
      </c>
      <c r="U7" s="60" t="s">
        <v>101</v>
      </c>
      <c r="V7" s="60" t="s">
        <v>92</v>
      </c>
      <c r="W7" s="60" t="s">
        <v>93</v>
      </c>
      <c r="X7" s="63" t="s">
        <v>102</v>
      </c>
    </row>
    <row r="8" spans="1:24">
      <c r="A8" s="60">
        <v>1118</v>
      </c>
      <c r="B8" s="61" t="s">
        <v>1465</v>
      </c>
      <c r="C8" s="62" t="s">
        <v>96</v>
      </c>
      <c r="D8" s="62" t="s">
        <v>97</v>
      </c>
      <c r="E8" s="60" t="s">
        <v>186</v>
      </c>
      <c r="F8" s="60" t="s">
        <v>170</v>
      </c>
      <c r="G8" s="60" t="s">
        <v>182</v>
      </c>
      <c r="H8" s="60" t="s">
        <v>707</v>
      </c>
      <c r="I8" s="60" t="s">
        <v>101</v>
      </c>
      <c r="J8" s="60" t="s">
        <v>2</v>
      </c>
      <c r="K8" s="60" t="s">
        <v>3</v>
      </c>
      <c r="L8" s="60" t="s">
        <v>87</v>
      </c>
      <c r="M8" s="60">
        <v>100</v>
      </c>
      <c r="N8" s="60" t="s">
        <v>87</v>
      </c>
      <c r="O8" s="60">
        <v>2</v>
      </c>
      <c r="P8" s="60" t="s">
        <v>807</v>
      </c>
      <c r="Q8" s="60" t="s">
        <v>92</v>
      </c>
      <c r="R8" s="60" t="s">
        <v>21</v>
      </c>
      <c r="S8" s="60" t="s">
        <v>38</v>
      </c>
      <c r="T8" s="60" t="s">
        <v>92</v>
      </c>
      <c r="U8" s="60" t="s">
        <v>101</v>
      </c>
      <c r="V8" s="60" t="s">
        <v>92</v>
      </c>
      <c r="W8" s="60" t="s">
        <v>93</v>
      </c>
      <c r="X8" s="63" t="s">
        <v>102</v>
      </c>
    </row>
    <row r="9" spans="1:24">
      <c r="A9" s="60">
        <v>87</v>
      </c>
      <c r="B9" s="61" t="s">
        <v>717</v>
      </c>
      <c r="C9" s="62" t="s">
        <v>96</v>
      </c>
      <c r="D9" s="62" t="s">
        <v>201</v>
      </c>
      <c r="E9" s="60" t="s">
        <v>133</v>
      </c>
      <c r="F9" s="60" t="s">
        <v>87</v>
      </c>
      <c r="G9" s="60" t="s">
        <v>171</v>
      </c>
      <c r="H9" s="60" t="s">
        <v>707</v>
      </c>
      <c r="I9" s="60" t="s">
        <v>90</v>
      </c>
      <c r="J9" s="60" t="s">
        <v>3</v>
      </c>
      <c r="K9" s="60" t="s">
        <v>2</v>
      </c>
      <c r="L9" s="60" t="s">
        <v>87</v>
      </c>
      <c r="M9" s="60">
        <v>38</v>
      </c>
      <c r="N9" s="60" t="s">
        <v>87</v>
      </c>
      <c r="O9" s="60">
        <v>20</v>
      </c>
      <c r="P9" s="60" t="s">
        <v>788</v>
      </c>
      <c r="Q9" s="60" t="s">
        <v>22</v>
      </c>
      <c r="R9" s="60" t="s">
        <v>20</v>
      </c>
      <c r="S9" s="60" t="s">
        <v>92</v>
      </c>
      <c r="T9" s="60" t="s">
        <v>94</v>
      </c>
      <c r="U9" s="60" t="s">
        <v>93</v>
      </c>
      <c r="V9" s="60" t="s">
        <v>92</v>
      </c>
      <c r="W9" s="60" t="s">
        <v>90</v>
      </c>
      <c r="X9" s="63" t="s">
        <v>95</v>
      </c>
    </row>
    <row r="10" spans="1:24">
      <c r="A10" s="60">
        <v>143</v>
      </c>
      <c r="B10" s="61" t="s">
        <v>719</v>
      </c>
      <c r="C10" s="62" t="s">
        <v>720</v>
      </c>
      <c r="D10" s="62" t="s">
        <v>721</v>
      </c>
      <c r="E10" s="60" t="s">
        <v>111</v>
      </c>
      <c r="F10" s="60" t="s">
        <v>87</v>
      </c>
      <c r="G10" s="60" t="s">
        <v>182</v>
      </c>
      <c r="H10" s="60" t="s">
        <v>707</v>
      </c>
      <c r="I10" s="60" t="s">
        <v>101</v>
      </c>
      <c r="J10" s="60" t="s">
        <v>2</v>
      </c>
      <c r="K10" s="60" t="s">
        <v>2</v>
      </c>
      <c r="L10" s="60" t="s">
        <v>87</v>
      </c>
      <c r="M10" s="60">
        <v>62</v>
      </c>
      <c r="N10" s="60" t="s">
        <v>87</v>
      </c>
      <c r="O10" s="60">
        <v>8</v>
      </c>
      <c r="P10" s="60" t="s">
        <v>714</v>
      </c>
      <c r="Q10" s="60" t="s">
        <v>22</v>
      </c>
      <c r="R10" s="60" t="s">
        <v>21</v>
      </c>
      <c r="S10" s="60" t="s">
        <v>37</v>
      </c>
      <c r="T10" s="60" t="s">
        <v>92</v>
      </c>
      <c r="U10" s="60" t="s">
        <v>108</v>
      </c>
      <c r="V10" s="60" t="s">
        <v>92</v>
      </c>
      <c r="W10" s="60" t="s">
        <v>93</v>
      </c>
      <c r="X10" s="63" t="s">
        <v>102</v>
      </c>
    </row>
    <row r="11" spans="1:24">
      <c r="A11" s="60">
        <v>986</v>
      </c>
      <c r="B11" s="61" t="s">
        <v>1466</v>
      </c>
      <c r="C11" s="62" t="s">
        <v>1467</v>
      </c>
      <c r="D11" s="62" t="s">
        <v>140</v>
      </c>
      <c r="E11" s="60" t="s">
        <v>218</v>
      </c>
      <c r="F11" s="60" t="s">
        <v>87</v>
      </c>
      <c r="G11" s="60" t="s">
        <v>117</v>
      </c>
      <c r="H11" s="60" t="s">
        <v>707</v>
      </c>
      <c r="I11" s="60" t="s">
        <v>90</v>
      </c>
      <c r="J11" s="60" t="s">
        <v>3</v>
      </c>
      <c r="K11" s="60" t="s">
        <v>3</v>
      </c>
      <c r="L11" s="60" t="s">
        <v>87</v>
      </c>
      <c r="M11" s="60">
        <v>6</v>
      </c>
      <c r="N11" s="60" t="s">
        <v>87</v>
      </c>
      <c r="O11" s="60">
        <v>4</v>
      </c>
      <c r="P11" s="60" t="s">
        <v>754</v>
      </c>
      <c r="Q11" s="60" t="s">
        <v>92</v>
      </c>
      <c r="R11" s="60" t="s">
        <v>21</v>
      </c>
      <c r="S11" s="60" t="s">
        <v>37</v>
      </c>
      <c r="T11" s="60" t="s">
        <v>94</v>
      </c>
      <c r="U11" s="60" t="s">
        <v>108</v>
      </c>
      <c r="V11" s="60" t="s">
        <v>92</v>
      </c>
      <c r="W11" s="60" t="s">
        <v>93</v>
      </c>
      <c r="X11" s="63" t="s">
        <v>95</v>
      </c>
    </row>
    <row r="12" spans="1:24">
      <c r="A12" s="60">
        <v>113</v>
      </c>
      <c r="B12" s="61" t="s">
        <v>723</v>
      </c>
      <c r="C12" s="62" t="s">
        <v>724</v>
      </c>
      <c r="D12" s="62" t="s">
        <v>725</v>
      </c>
      <c r="E12" s="60" t="s">
        <v>146</v>
      </c>
      <c r="F12" s="60" t="s">
        <v>87</v>
      </c>
      <c r="G12" s="60" t="s">
        <v>150</v>
      </c>
      <c r="H12" s="60" t="s">
        <v>707</v>
      </c>
      <c r="I12" s="60" t="s">
        <v>101</v>
      </c>
      <c r="J12" s="60" t="s">
        <v>2</v>
      </c>
      <c r="K12" s="60" t="s">
        <v>2</v>
      </c>
      <c r="L12" s="60" t="s">
        <v>87</v>
      </c>
      <c r="M12" s="60">
        <v>70</v>
      </c>
      <c r="N12" s="60" t="s">
        <v>87</v>
      </c>
      <c r="O12" s="60">
        <v>14</v>
      </c>
      <c r="P12" s="60" t="s">
        <v>794</v>
      </c>
      <c r="Q12" s="60" t="s">
        <v>24</v>
      </c>
      <c r="R12" s="60" t="s">
        <v>92</v>
      </c>
      <c r="S12" s="60" t="s">
        <v>23</v>
      </c>
      <c r="T12" s="60" t="s">
        <v>94</v>
      </c>
      <c r="U12" s="60" t="s">
        <v>108</v>
      </c>
      <c r="V12" s="60" t="s">
        <v>92</v>
      </c>
      <c r="W12" s="60" t="s">
        <v>93</v>
      </c>
      <c r="X12" s="63" t="s">
        <v>102</v>
      </c>
    </row>
    <row r="13" spans="1:24">
      <c r="A13" s="60">
        <v>985</v>
      </c>
      <c r="B13" s="61" t="s">
        <v>1468</v>
      </c>
      <c r="C13" s="62" t="s">
        <v>1469</v>
      </c>
      <c r="D13" s="62" t="s">
        <v>339</v>
      </c>
      <c r="E13" s="60" t="s">
        <v>218</v>
      </c>
      <c r="F13" s="60" t="s">
        <v>87</v>
      </c>
      <c r="G13" s="60" t="s">
        <v>147</v>
      </c>
      <c r="H13" s="60" t="s">
        <v>707</v>
      </c>
      <c r="I13" s="60" t="s">
        <v>101</v>
      </c>
      <c r="J13" s="60" t="s">
        <v>2</v>
      </c>
      <c r="K13" s="60" t="s">
        <v>2</v>
      </c>
      <c r="L13" s="60" t="s">
        <v>87</v>
      </c>
      <c r="M13" s="60">
        <v>9</v>
      </c>
      <c r="N13" s="60" t="s">
        <v>87</v>
      </c>
      <c r="O13" s="60">
        <v>3</v>
      </c>
      <c r="P13" s="60" t="s">
        <v>727</v>
      </c>
      <c r="Q13" s="60" t="s">
        <v>19</v>
      </c>
      <c r="R13" s="60" t="s">
        <v>21</v>
      </c>
      <c r="S13" s="60" t="s">
        <v>38</v>
      </c>
      <c r="T13" s="60" t="s">
        <v>94</v>
      </c>
      <c r="U13" s="60" t="s">
        <v>90</v>
      </c>
      <c r="V13" s="60" t="s">
        <v>92</v>
      </c>
      <c r="W13" s="60" t="s">
        <v>93</v>
      </c>
      <c r="X13" s="63" t="s">
        <v>102</v>
      </c>
    </row>
    <row r="14" spans="1:24">
      <c r="A14" s="60">
        <v>1245</v>
      </c>
      <c r="B14" s="61" t="s">
        <v>1276</v>
      </c>
      <c r="C14" s="62" t="s">
        <v>104</v>
      </c>
      <c r="D14" s="62" t="s">
        <v>1277</v>
      </c>
      <c r="E14" s="60" t="s">
        <v>328</v>
      </c>
      <c r="F14" s="60" t="s">
        <v>170</v>
      </c>
      <c r="G14" s="60" t="s">
        <v>150</v>
      </c>
      <c r="H14" s="60" t="s">
        <v>707</v>
      </c>
      <c r="I14" s="60" t="s">
        <v>90</v>
      </c>
      <c r="J14" s="60" t="s">
        <v>3</v>
      </c>
      <c r="K14" s="60" t="s">
        <v>3</v>
      </c>
      <c r="L14" s="60" t="s">
        <v>87</v>
      </c>
      <c r="M14" s="60">
        <v>100</v>
      </c>
      <c r="N14" s="60" t="s">
        <v>87</v>
      </c>
      <c r="O14" s="60">
        <v>1</v>
      </c>
      <c r="P14" s="60" t="s">
        <v>729</v>
      </c>
      <c r="Q14" s="60" t="s">
        <v>92</v>
      </c>
      <c r="R14" s="60" t="s">
        <v>20</v>
      </c>
      <c r="S14" s="60" t="s">
        <v>38</v>
      </c>
      <c r="T14" s="60" t="s">
        <v>92</v>
      </c>
      <c r="U14" s="60" t="s">
        <v>101</v>
      </c>
      <c r="V14" s="60" t="s">
        <v>92</v>
      </c>
      <c r="W14" s="60" t="s">
        <v>93</v>
      </c>
      <c r="X14" s="63" t="s">
        <v>95</v>
      </c>
    </row>
    <row r="15" spans="1:24">
      <c r="A15" s="60">
        <v>1219</v>
      </c>
      <c r="B15" s="61" t="s">
        <v>103</v>
      </c>
      <c r="C15" s="62" t="s">
        <v>104</v>
      </c>
      <c r="D15" s="62" t="s">
        <v>105</v>
      </c>
      <c r="E15" s="60" t="s">
        <v>106</v>
      </c>
      <c r="F15" s="60" t="s">
        <v>170</v>
      </c>
      <c r="G15" s="60" t="s">
        <v>117</v>
      </c>
      <c r="H15" s="60" t="s">
        <v>100</v>
      </c>
      <c r="I15" s="60" t="s">
        <v>90</v>
      </c>
      <c r="J15" s="60" t="s">
        <v>2</v>
      </c>
      <c r="K15" s="60" t="s">
        <v>2</v>
      </c>
      <c r="L15" s="60">
        <v>200</v>
      </c>
      <c r="M15" s="60">
        <v>100</v>
      </c>
      <c r="N15" s="60">
        <v>1</v>
      </c>
      <c r="O15" s="60">
        <v>1</v>
      </c>
      <c r="P15" s="60" t="s">
        <v>255</v>
      </c>
      <c r="Q15" s="60" t="s">
        <v>92</v>
      </c>
      <c r="R15" s="60" t="s">
        <v>92</v>
      </c>
      <c r="S15" s="60" t="s">
        <v>23</v>
      </c>
      <c r="T15" s="60" t="s">
        <v>92</v>
      </c>
      <c r="U15" s="60" t="s">
        <v>108</v>
      </c>
      <c r="V15" s="60" t="s">
        <v>94</v>
      </c>
      <c r="W15" s="60" t="s">
        <v>93</v>
      </c>
      <c r="X15" s="63" t="s">
        <v>95</v>
      </c>
    </row>
    <row r="16" spans="1:24">
      <c r="A16" s="60">
        <v>236</v>
      </c>
      <c r="B16" s="61" t="s">
        <v>109</v>
      </c>
      <c r="C16" s="62" t="s">
        <v>104</v>
      </c>
      <c r="D16" s="62" t="s">
        <v>110</v>
      </c>
      <c r="E16" s="60" t="s">
        <v>169</v>
      </c>
      <c r="F16" s="60" t="s">
        <v>87</v>
      </c>
      <c r="G16" s="60" t="s">
        <v>150</v>
      </c>
      <c r="H16" s="60" t="s">
        <v>707</v>
      </c>
      <c r="I16" s="60" t="s">
        <v>101</v>
      </c>
      <c r="J16" s="60" t="s">
        <v>3</v>
      </c>
      <c r="K16" s="60" t="s">
        <v>3</v>
      </c>
      <c r="L16" s="60" t="s">
        <v>87</v>
      </c>
      <c r="M16" s="60">
        <v>67</v>
      </c>
      <c r="N16" s="60" t="s">
        <v>87</v>
      </c>
      <c r="O16" s="60">
        <v>12</v>
      </c>
      <c r="P16" s="60" t="s">
        <v>782</v>
      </c>
      <c r="Q16" s="60" t="s">
        <v>22</v>
      </c>
      <c r="R16" s="60" t="s">
        <v>92</v>
      </c>
      <c r="S16" s="60" t="s">
        <v>37</v>
      </c>
      <c r="T16" s="60" t="s">
        <v>94</v>
      </c>
      <c r="U16" s="60" t="s">
        <v>90</v>
      </c>
      <c r="V16" s="60" t="s">
        <v>92</v>
      </c>
      <c r="W16" s="60" t="s">
        <v>90</v>
      </c>
      <c r="X16" s="63" t="s">
        <v>102</v>
      </c>
    </row>
    <row r="17" spans="1:24">
      <c r="A17" s="60">
        <v>1049</v>
      </c>
      <c r="B17" s="61" t="s">
        <v>1278</v>
      </c>
      <c r="C17" s="62" t="s">
        <v>104</v>
      </c>
      <c r="D17" s="62" t="s">
        <v>359</v>
      </c>
      <c r="E17" s="60" t="s">
        <v>50</v>
      </c>
      <c r="F17" s="60" t="s">
        <v>170</v>
      </c>
      <c r="G17" s="60" t="s">
        <v>112</v>
      </c>
      <c r="H17" s="60" t="s">
        <v>707</v>
      </c>
      <c r="I17" s="60" t="s">
        <v>101</v>
      </c>
      <c r="J17" s="60" t="s">
        <v>2</v>
      </c>
      <c r="K17" s="60" t="s">
        <v>2</v>
      </c>
      <c r="L17" s="60" t="s">
        <v>87</v>
      </c>
      <c r="M17" s="60">
        <v>100</v>
      </c>
      <c r="N17" s="60" t="s">
        <v>87</v>
      </c>
      <c r="O17" s="60">
        <v>1</v>
      </c>
      <c r="P17" s="60" t="s">
        <v>729</v>
      </c>
      <c r="Q17" s="60" t="s">
        <v>19</v>
      </c>
      <c r="R17" s="60" t="s">
        <v>21</v>
      </c>
      <c r="S17" s="60" t="s">
        <v>38</v>
      </c>
      <c r="T17" s="60" t="s">
        <v>94</v>
      </c>
      <c r="U17" s="60" t="s">
        <v>108</v>
      </c>
      <c r="V17" s="60" t="s">
        <v>94</v>
      </c>
      <c r="W17" s="60" t="s">
        <v>93</v>
      </c>
      <c r="X17" s="63" t="s">
        <v>102</v>
      </c>
    </row>
    <row r="18" spans="1:24">
      <c r="A18" s="60">
        <v>619</v>
      </c>
      <c r="B18" s="61" t="s">
        <v>114</v>
      </c>
      <c r="C18" s="62" t="s">
        <v>115</v>
      </c>
      <c r="D18" s="62" t="s">
        <v>116</v>
      </c>
      <c r="E18" s="60" t="s">
        <v>154</v>
      </c>
      <c r="F18" s="60" t="s">
        <v>87</v>
      </c>
      <c r="G18" s="60" t="s">
        <v>99</v>
      </c>
      <c r="H18" s="60" t="s">
        <v>100</v>
      </c>
      <c r="I18" s="60" t="s">
        <v>101</v>
      </c>
      <c r="J18" s="60" t="s">
        <v>3</v>
      </c>
      <c r="K18" s="60" t="s">
        <v>3</v>
      </c>
      <c r="L18" s="60">
        <v>181</v>
      </c>
      <c r="M18" s="60" t="s">
        <v>87</v>
      </c>
      <c r="N18" s="60">
        <v>9</v>
      </c>
      <c r="O18" s="60" t="s">
        <v>87</v>
      </c>
      <c r="P18" s="60">
        <v>9</v>
      </c>
      <c r="Q18" s="60" t="s">
        <v>92</v>
      </c>
      <c r="R18" s="60" t="s">
        <v>92</v>
      </c>
      <c r="S18" s="60" t="s">
        <v>92</v>
      </c>
      <c r="T18" s="60" t="s">
        <v>92</v>
      </c>
      <c r="U18" s="60" t="s">
        <v>101</v>
      </c>
      <c r="V18" s="60" t="s">
        <v>92</v>
      </c>
      <c r="W18" s="60" t="s">
        <v>101</v>
      </c>
      <c r="X18" s="63" t="s">
        <v>102</v>
      </c>
    </row>
    <row r="19" spans="1:24">
      <c r="A19" s="60">
        <v>467</v>
      </c>
      <c r="B19" s="61" t="s">
        <v>1251</v>
      </c>
      <c r="C19" s="62" t="s">
        <v>115</v>
      </c>
      <c r="D19" s="62" t="s">
        <v>1252</v>
      </c>
      <c r="E19" s="60" t="s">
        <v>197</v>
      </c>
      <c r="F19" s="60" t="s">
        <v>87</v>
      </c>
      <c r="G19" s="60" t="s">
        <v>99</v>
      </c>
      <c r="H19" s="60" t="s">
        <v>100</v>
      </c>
      <c r="I19" s="60" t="s">
        <v>90</v>
      </c>
      <c r="J19" s="60" t="s">
        <v>2</v>
      </c>
      <c r="K19" s="60" t="s">
        <v>2</v>
      </c>
      <c r="L19" s="60">
        <v>153</v>
      </c>
      <c r="M19" s="60" t="s">
        <v>87</v>
      </c>
      <c r="N19" s="60">
        <v>5</v>
      </c>
      <c r="O19" s="60" t="s">
        <v>87</v>
      </c>
      <c r="P19" s="60">
        <v>5</v>
      </c>
      <c r="Q19" s="60" t="s">
        <v>92</v>
      </c>
      <c r="R19" s="60" t="s">
        <v>92</v>
      </c>
      <c r="S19" s="60" t="s">
        <v>92</v>
      </c>
      <c r="T19" s="60" t="s">
        <v>94</v>
      </c>
      <c r="U19" s="60" t="s">
        <v>90</v>
      </c>
      <c r="V19" s="60" t="s">
        <v>92</v>
      </c>
      <c r="W19" s="60" t="s">
        <v>90</v>
      </c>
      <c r="X19" s="63" t="s">
        <v>95</v>
      </c>
    </row>
    <row r="20" spans="1:24">
      <c r="A20" s="60">
        <v>109</v>
      </c>
      <c r="B20" s="61" t="s">
        <v>1470</v>
      </c>
      <c r="C20" s="62" t="s">
        <v>115</v>
      </c>
      <c r="D20" s="62" t="s">
        <v>725</v>
      </c>
      <c r="E20" s="60" t="s">
        <v>146</v>
      </c>
      <c r="F20" s="60" t="s">
        <v>87</v>
      </c>
      <c r="G20" s="60" t="s">
        <v>112</v>
      </c>
      <c r="H20" s="60" t="s">
        <v>100</v>
      </c>
      <c r="I20" s="60" t="s">
        <v>101</v>
      </c>
      <c r="J20" s="60" t="s">
        <v>2</v>
      </c>
      <c r="K20" s="60" t="s">
        <v>2</v>
      </c>
      <c r="L20" s="60">
        <v>92</v>
      </c>
      <c r="M20" s="60" t="s">
        <v>87</v>
      </c>
      <c r="N20" s="60">
        <v>13</v>
      </c>
      <c r="O20" s="60" t="s">
        <v>87</v>
      </c>
      <c r="P20" s="60">
        <v>13</v>
      </c>
      <c r="Q20" s="60" t="s">
        <v>92</v>
      </c>
      <c r="R20" s="60" t="s">
        <v>92</v>
      </c>
      <c r="S20" s="60" t="s">
        <v>92</v>
      </c>
      <c r="T20" s="60" t="s">
        <v>92</v>
      </c>
      <c r="U20" s="60" t="s">
        <v>93</v>
      </c>
      <c r="V20" s="60" t="s">
        <v>92</v>
      </c>
      <c r="W20" s="60" t="s">
        <v>108</v>
      </c>
      <c r="X20" s="63" t="s">
        <v>102</v>
      </c>
    </row>
    <row r="21" spans="1:24">
      <c r="A21" s="60">
        <v>388</v>
      </c>
      <c r="B21" s="61" t="s">
        <v>1471</v>
      </c>
      <c r="C21" s="62" t="s">
        <v>1472</v>
      </c>
      <c r="D21" s="62" t="s">
        <v>201</v>
      </c>
      <c r="E21" s="60" t="s">
        <v>123</v>
      </c>
      <c r="F21" s="60" t="s">
        <v>87</v>
      </c>
      <c r="G21" s="60" t="s">
        <v>117</v>
      </c>
      <c r="H21" s="60" t="s">
        <v>89</v>
      </c>
      <c r="I21" s="60" t="s">
        <v>101</v>
      </c>
      <c r="J21" s="60" t="s">
        <v>2</v>
      </c>
      <c r="K21" s="60" t="s">
        <v>2</v>
      </c>
      <c r="L21" s="60">
        <v>36</v>
      </c>
      <c r="M21" s="60">
        <v>31</v>
      </c>
      <c r="N21" s="60">
        <v>4</v>
      </c>
      <c r="O21" s="60" t="s">
        <v>91</v>
      </c>
      <c r="P21" s="60" t="s">
        <v>1473</v>
      </c>
      <c r="Q21" s="60" t="s">
        <v>92</v>
      </c>
      <c r="R21" s="60" t="s">
        <v>92</v>
      </c>
      <c r="S21" s="60" t="s">
        <v>92</v>
      </c>
      <c r="T21" s="60" t="s">
        <v>92</v>
      </c>
      <c r="U21" s="60" t="s">
        <v>101</v>
      </c>
      <c r="V21" s="60" t="s">
        <v>92</v>
      </c>
      <c r="W21" s="60" t="s">
        <v>101</v>
      </c>
      <c r="X21" s="63" t="s">
        <v>102</v>
      </c>
    </row>
    <row r="22" spans="1:24">
      <c r="A22" s="60">
        <v>746</v>
      </c>
      <c r="B22" s="61" t="s">
        <v>1474</v>
      </c>
      <c r="C22" s="62" t="s">
        <v>1475</v>
      </c>
      <c r="D22" s="62" t="s">
        <v>1476</v>
      </c>
      <c r="E22" s="60" t="s">
        <v>226</v>
      </c>
      <c r="F22" s="60" t="s">
        <v>87</v>
      </c>
      <c r="G22" s="60" t="s">
        <v>107</v>
      </c>
      <c r="H22" s="60" t="s">
        <v>707</v>
      </c>
      <c r="I22" s="60" t="s">
        <v>90</v>
      </c>
      <c r="J22" s="60" t="s">
        <v>3</v>
      </c>
      <c r="K22" s="60" t="s">
        <v>3</v>
      </c>
      <c r="L22" s="60" t="s">
        <v>87</v>
      </c>
      <c r="M22" s="60">
        <v>35</v>
      </c>
      <c r="N22" s="60" t="s">
        <v>87</v>
      </c>
      <c r="O22" s="60">
        <v>13</v>
      </c>
      <c r="P22" s="60" t="s">
        <v>718</v>
      </c>
      <c r="Q22" s="60" t="s">
        <v>22</v>
      </c>
      <c r="R22" s="60" t="s">
        <v>21</v>
      </c>
      <c r="S22" s="60" t="s">
        <v>23</v>
      </c>
      <c r="T22" s="60" t="s">
        <v>94</v>
      </c>
      <c r="U22" s="60" t="s">
        <v>108</v>
      </c>
      <c r="V22" s="60" t="s">
        <v>94</v>
      </c>
      <c r="W22" s="60" t="s">
        <v>93</v>
      </c>
      <c r="X22" s="63" t="s">
        <v>95</v>
      </c>
    </row>
    <row r="23" spans="1:24">
      <c r="A23" s="60">
        <v>376</v>
      </c>
      <c r="B23" s="61" t="s">
        <v>120</v>
      </c>
      <c r="C23" s="62" t="s">
        <v>121</v>
      </c>
      <c r="D23" s="62" t="s">
        <v>122</v>
      </c>
      <c r="E23" s="60" t="s">
        <v>123</v>
      </c>
      <c r="F23" s="60" t="s">
        <v>87</v>
      </c>
      <c r="G23" s="60" t="s">
        <v>150</v>
      </c>
      <c r="H23" s="60" t="s">
        <v>100</v>
      </c>
      <c r="I23" s="60" t="s">
        <v>90</v>
      </c>
      <c r="J23" s="60" t="s">
        <v>2</v>
      </c>
      <c r="K23" s="60" t="s">
        <v>2</v>
      </c>
      <c r="L23" s="60">
        <v>212</v>
      </c>
      <c r="M23" s="60" t="s">
        <v>87</v>
      </c>
      <c r="N23" s="60">
        <v>13</v>
      </c>
      <c r="O23" s="60" t="s">
        <v>87</v>
      </c>
      <c r="P23" s="60">
        <v>13</v>
      </c>
      <c r="Q23" s="60" t="s">
        <v>24</v>
      </c>
      <c r="R23" s="60" t="s">
        <v>92</v>
      </c>
      <c r="S23" s="60" t="s">
        <v>92</v>
      </c>
      <c r="T23" s="60" t="s">
        <v>94</v>
      </c>
      <c r="U23" s="60" t="s">
        <v>108</v>
      </c>
      <c r="V23" s="60" t="s">
        <v>92</v>
      </c>
      <c r="W23" s="60" t="s">
        <v>101</v>
      </c>
      <c r="X23" s="63" t="s">
        <v>95</v>
      </c>
    </row>
    <row r="24" spans="1:24">
      <c r="A24" s="60">
        <v>947</v>
      </c>
      <c r="B24" s="61" t="s">
        <v>1477</v>
      </c>
      <c r="C24" s="62" t="s">
        <v>1478</v>
      </c>
      <c r="D24" s="62" t="s">
        <v>806</v>
      </c>
      <c r="E24" s="60" t="s">
        <v>146</v>
      </c>
      <c r="F24" s="60" t="s">
        <v>87</v>
      </c>
      <c r="G24" s="60" t="s">
        <v>112</v>
      </c>
      <c r="H24" s="60" t="s">
        <v>707</v>
      </c>
      <c r="I24" s="60" t="s">
        <v>90</v>
      </c>
      <c r="J24" s="60" t="s">
        <v>2</v>
      </c>
      <c r="K24" s="60" t="s">
        <v>2</v>
      </c>
      <c r="L24" s="60" t="s">
        <v>87</v>
      </c>
      <c r="M24" s="60">
        <v>8</v>
      </c>
      <c r="N24" s="60" t="s">
        <v>87</v>
      </c>
      <c r="O24" s="60">
        <v>9</v>
      </c>
      <c r="P24" s="60" t="s">
        <v>744</v>
      </c>
      <c r="Q24" s="60" t="s">
        <v>24</v>
      </c>
      <c r="R24" s="60" t="s">
        <v>92</v>
      </c>
      <c r="S24" s="60" t="s">
        <v>3</v>
      </c>
      <c r="T24" s="60" t="s">
        <v>94</v>
      </c>
      <c r="U24" s="60" t="s">
        <v>90</v>
      </c>
      <c r="V24" s="60" t="s">
        <v>94</v>
      </c>
      <c r="W24" s="60" t="s">
        <v>93</v>
      </c>
      <c r="X24" s="63" t="s">
        <v>95</v>
      </c>
    </row>
    <row r="25" spans="1:24">
      <c r="A25" s="60">
        <v>922</v>
      </c>
      <c r="B25" s="61" t="s">
        <v>1479</v>
      </c>
      <c r="C25" s="62" t="s">
        <v>1480</v>
      </c>
      <c r="D25" s="62" t="s">
        <v>566</v>
      </c>
      <c r="E25" s="60" t="s">
        <v>86</v>
      </c>
      <c r="F25" s="60" t="s">
        <v>170</v>
      </c>
      <c r="G25" s="60" t="s">
        <v>112</v>
      </c>
      <c r="H25" s="60" t="s">
        <v>707</v>
      </c>
      <c r="I25" s="60" t="s">
        <v>90</v>
      </c>
      <c r="J25" s="60" t="s">
        <v>2</v>
      </c>
      <c r="K25" s="60" t="s">
        <v>2</v>
      </c>
      <c r="L25" s="60" t="s">
        <v>87</v>
      </c>
      <c r="M25" s="60">
        <v>100</v>
      </c>
      <c r="N25" s="60" t="s">
        <v>87</v>
      </c>
      <c r="O25" s="60">
        <v>1</v>
      </c>
      <c r="P25" s="60" t="s">
        <v>729</v>
      </c>
      <c r="Q25" s="60" t="s">
        <v>92</v>
      </c>
      <c r="R25" s="60" t="s">
        <v>92</v>
      </c>
      <c r="S25" s="60" t="s">
        <v>3</v>
      </c>
      <c r="T25" s="60" t="s">
        <v>94</v>
      </c>
      <c r="U25" s="60" t="s">
        <v>93</v>
      </c>
      <c r="V25" s="60" t="s">
        <v>94</v>
      </c>
      <c r="W25" s="60" t="s">
        <v>93</v>
      </c>
      <c r="X25" s="63" t="s">
        <v>95</v>
      </c>
    </row>
    <row r="26" spans="1:24">
      <c r="A26" s="60">
        <v>526</v>
      </c>
      <c r="B26" s="61" t="s">
        <v>124</v>
      </c>
      <c r="C26" s="62" t="s">
        <v>125</v>
      </c>
      <c r="D26" s="62" t="s">
        <v>126</v>
      </c>
      <c r="E26" s="60" t="s">
        <v>141</v>
      </c>
      <c r="F26" s="60" t="s">
        <v>87</v>
      </c>
      <c r="G26" s="60" t="s">
        <v>182</v>
      </c>
      <c r="H26" s="60" t="s">
        <v>100</v>
      </c>
      <c r="I26" s="60" t="s">
        <v>101</v>
      </c>
      <c r="J26" s="60" t="s">
        <v>2</v>
      </c>
      <c r="K26" s="60" t="s">
        <v>2</v>
      </c>
      <c r="L26" s="60">
        <v>229</v>
      </c>
      <c r="M26" s="60" t="s">
        <v>87</v>
      </c>
      <c r="N26" s="60">
        <v>20</v>
      </c>
      <c r="O26" s="60" t="s">
        <v>87</v>
      </c>
      <c r="P26" s="60">
        <v>20</v>
      </c>
      <c r="Q26" s="60" t="s">
        <v>24</v>
      </c>
      <c r="R26" s="60" t="s">
        <v>20</v>
      </c>
      <c r="S26" s="60" t="s">
        <v>37</v>
      </c>
      <c r="T26" s="60" t="s">
        <v>94</v>
      </c>
      <c r="U26" s="60" t="s">
        <v>101</v>
      </c>
      <c r="V26" s="60" t="s">
        <v>92</v>
      </c>
      <c r="W26" s="60" t="s">
        <v>93</v>
      </c>
      <c r="X26" s="63" t="s">
        <v>102</v>
      </c>
    </row>
    <row r="27" spans="1:24">
      <c r="A27" s="60">
        <v>1273</v>
      </c>
      <c r="B27" s="61" t="s">
        <v>1481</v>
      </c>
      <c r="C27" s="62" t="s">
        <v>1482</v>
      </c>
      <c r="D27" s="62" t="s">
        <v>1483</v>
      </c>
      <c r="E27" s="60" t="s">
        <v>226</v>
      </c>
      <c r="F27" s="60" t="s">
        <v>170</v>
      </c>
      <c r="G27" s="60" t="s">
        <v>107</v>
      </c>
      <c r="H27" s="60" t="s">
        <v>100</v>
      </c>
      <c r="I27" s="60" t="s">
        <v>101</v>
      </c>
      <c r="J27" s="60" t="s">
        <v>2</v>
      </c>
      <c r="K27" s="60" t="s">
        <v>2</v>
      </c>
      <c r="L27" s="60">
        <v>200</v>
      </c>
      <c r="M27" s="60">
        <v>100</v>
      </c>
      <c r="N27" s="60">
        <v>1</v>
      </c>
      <c r="O27" s="60">
        <v>1</v>
      </c>
      <c r="P27" s="60" t="s">
        <v>255</v>
      </c>
      <c r="Q27" s="60" t="s">
        <v>92</v>
      </c>
      <c r="R27" s="60" t="s">
        <v>92</v>
      </c>
      <c r="S27" s="60" t="s">
        <v>38</v>
      </c>
      <c r="T27" s="60" t="s">
        <v>92</v>
      </c>
      <c r="U27" s="60" t="s">
        <v>108</v>
      </c>
      <c r="V27" s="60" t="s">
        <v>92</v>
      </c>
      <c r="W27" s="60" t="s">
        <v>90</v>
      </c>
      <c r="X27" s="63" t="s">
        <v>102</v>
      </c>
    </row>
    <row r="28" spans="1:24">
      <c r="A28" s="60">
        <v>120</v>
      </c>
      <c r="B28" s="61" t="s">
        <v>730</v>
      </c>
      <c r="C28" s="62" t="s">
        <v>731</v>
      </c>
      <c r="D28" s="62" t="s">
        <v>140</v>
      </c>
      <c r="E28" s="60" t="s">
        <v>146</v>
      </c>
      <c r="F28" s="60" t="s">
        <v>170</v>
      </c>
      <c r="G28" s="60" t="s">
        <v>799</v>
      </c>
      <c r="H28" s="60" t="s">
        <v>707</v>
      </c>
      <c r="I28" s="60" t="s">
        <v>101</v>
      </c>
      <c r="J28" s="60" t="s">
        <v>2</v>
      </c>
      <c r="K28" s="60" t="s">
        <v>2</v>
      </c>
      <c r="L28" s="60" t="s">
        <v>87</v>
      </c>
      <c r="M28" s="60">
        <v>100</v>
      </c>
      <c r="N28" s="60" t="s">
        <v>87</v>
      </c>
      <c r="O28" s="60">
        <v>1</v>
      </c>
      <c r="P28" s="60" t="s">
        <v>729</v>
      </c>
      <c r="Q28" s="60" t="s">
        <v>92</v>
      </c>
      <c r="R28" s="60" t="s">
        <v>20</v>
      </c>
      <c r="S28" s="60" t="s">
        <v>38</v>
      </c>
      <c r="T28" s="60" t="s">
        <v>94</v>
      </c>
      <c r="U28" s="60" t="s">
        <v>108</v>
      </c>
      <c r="V28" s="60" t="s">
        <v>92</v>
      </c>
      <c r="W28" s="60" t="s">
        <v>93</v>
      </c>
      <c r="X28" s="63" t="s">
        <v>102</v>
      </c>
    </row>
    <row r="29" spans="1:24">
      <c r="A29" s="60">
        <v>1264</v>
      </c>
      <c r="B29" s="61" t="s">
        <v>732</v>
      </c>
      <c r="C29" s="62" t="s">
        <v>733</v>
      </c>
      <c r="D29" s="62" t="s">
        <v>734</v>
      </c>
      <c r="E29" s="60" t="s">
        <v>226</v>
      </c>
      <c r="F29" s="60" t="s">
        <v>170</v>
      </c>
      <c r="G29" s="60" t="s">
        <v>150</v>
      </c>
      <c r="H29" s="60" t="s">
        <v>100</v>
      </c>
      <c r="I29" s="60" t="s">
        <v>90</v>
      </c>
      <c r="J29" s="60" t="s">
        <v>3</v>
      </c>
      <c r="K29" s="60" t="s">
        <v>2</v>
      </c>
      <c r="L29" s="60">
        <v>200</v>
      </c>
      <c r="M29" s="60">
        <v>100</v>
      </c>
      <c r="N29" s="60">
        <v>1</v>
      </c>
      <c r="O29" s="60">
        <v>1</v>
      </c>
      <c r="P29" s="60" t="s">
        <v>255</v>
      </c>
      <c r="Q29" s="60" t="s">
        <v>92</v>
      </c>
      <c r="R29" s="60" t="s">
        <v>21</v>
      </c>
      <c r="S29" s="60" t="s">
        <v>38</v>
      </c>
      <c r="T29" s="60" t="s">
        <v>92</v>
      </c>
      <c r="U29" s="60" t="s">
        <v>108</v>
      </c>
      <c r="V29" s="60" t="s">
        <v>92</v>
      </c>
      <c r="W29" s="60" t="s">
        <v>90</v>
      </c>
      <c r="X29" s="63" t="s">
        <v>95</v>
      </c>
    </row>
    <row r="30" spans="1:24">
      <c r="A30" s="60">
        <v>622</v>
      </c>
      <c r="B30" s="61" t="s">
        <v>735</v>
      </c>
      <c r="C30" s="62" t="s">
        <v>736</v>
      </c>
      <c r="D30" s="62" t="s">
        <v>494</v>
      </c>
      <c r="E30" s="60" t="s">
        <v>127</v>
      </c>
      <c r="F30" s="60" t="s">
        <v>87</v>
      </c>
      <c r="G30" s="60" t="s">
        <v>117</v>
      </c>
      <c r="H30" s="60" t="s">
        <v>707</v>
      </c>
      <c r="I30" s="60" t="s">
        <v>101</v>
      </c>
      <c r="J30" s="60" t="s">
        <v>3</v>
      </c>
      <c r="K30" s="60" t="s">
        <v>3</v>
      </c>
      <c r="L30" s="60" t="s">
        <v>87</v>
      </c>
      <c r="M30" s="60">
        <v>54</v>
      </c>
      <c r="N30" s="60" t="s">
        <v>87</v>
      </c>
      <c r="O30" s="60">
        <v>6</v>
      </c>
      <c r="P30" s="60" t="s">
        <v>740</v>
      </c>
      <c r="Q30" s="60" t="s">
        <v>22</v>
      </c>
      <c r="R30" s="60" t="s">
        <v>92</v>
      </c>
      <c r="S30" s="60" t="s">
        <v>92</v>
      </c>
      <c r="T30" s="60" t="s">
        <v>92</v>
      </c>
      <c r="U30" s="60" t="s">
        <v>108</v>
      </c>
      <c r="V30" s="60" t="s">
        <v>92</v>
      </c>
      <c r="W30" s="60" t="s">
        <v>93</v>
      </c>
      <c r="X30" s="63" t="s">
        <v>102</v>
      </c>
    </row>
    <row r="31" spans="1:24">
      <c r="A31" s="60">
        <v>1169</v>
      </c>
      <c r="B31" s="61" t="s">
        <v>130</v>
      </c>
      <c r="C31" s="62" t="s">
        <v>131</v>
      </c>
      <c r="D31" s="62" t="s">
        <v>132</v>
      </c>
      <c r="E31" s="60" t="s">
        <v>128</v>
      </c>
      <c r="F31" s="60" t="s">
        <v>170</v>
      </c>
      <c r="G31" s="60" t="s">
        <v>182</v>
      </c>
      <c r="H31" s="60" t="s">
        <v>707</v>
      </c>
      <c r="I31" s="60" t="s">
        <v>101</v>
      </c>
      <c r="J31" s="60" t="s">
        <v>2</v>
      </c>
      <c r="K31" s="60" t="s">
        <v>2</v>
      </c>
      <c r="L31" s="60" t="s">
        <v>87</v>
      </c>
      <c r="M31" s="60">
        <v>100</v>
      </c>
      <c r="N31" s="60" t="s">
        <v>87</v>
      </c>
      <c r="O31" s="60">
        <v>1</v>
      </c>
      <c r="P31" s="60" t="s">
        <v>729</v>
      </c>
      <c r="Q31" s="60" t="s">
        <v>22</v>
      </c>
      <c r="R31" s="60" t="s">
        <v>21</v>
      </c>
      <c r="S31" s="60" t="s">
        <v>38</v>
      </c>
      <c r="T31" s="60" t="s">
        <v>94</v>
      </c>
      <c r="U31" s="60" t="s">
        <v>93</v>
      </c>
      <c r="V31" s="60" t="s">
        <v>94</v>
      </c>
      <c r="W31" s="60" t="s">
        <v>93</v>
      </c>
      <c r="X31" s="63" t="s">
        <v>102</v>
      </c>
    </row>
    <row r="32" spans="1:24">
      <c r="A32" s="60">
        <v>594</v>
      </c>
      <c r="B32" s="61" t="s">
        <v>738</v>
      </c>
      <c r="C32" s="62" t="s">
        <v>739</v>
      </c>
      <c r="D32" s="62" t="s">
        <v>248</v>
      </c>
      <c r="E32" s="60" t="s">
        <v>163</v>
      </c>
      <c r="F32" s="60" t="s">
        <v>87</v>
      </c>
      <c r="G32" s="60" t="s">
        <v>171</v>
      </c>
      <c r="H32" s="60" t="s">
        <v>707</v>
      </c>
      <c r="I32" s="60" t="s">
        <v>90</v>
      </c>
      <c r="J32" s="60" t="s">
        <v>2</v>
      </c>
      <c r="K32" s="60" t="s">
        <v>2</v>
      </c>
      <c r="L32" s="60" t="s">
        <v>87</v>
      </c>
      <c r="M32" s="60">
        <v>56</v>
      </c>
      <c r="N32" s="60" t="s">
        <v>87</v>
      </c>
      <c r="O32" s="60">
        <v>8</v>
      </c>
      <c r="P32" s="60" t="s">
        <v>714</v>
      </c>
      <c r="Q32" s="60" t="s">
        <v>19</v>
      </c>
      <c r="R32" s="60" t="s">
        <v>21</v>
      </c>
      <c r="S32" s="60" t="s">
        <v>37</v>
      </c>
      <c r="T32" s="60" t="s">
        <v>94</v>
      </c>
      <c r="U32" s="60" t="s">
        <v>90</v>
      </c>
      <c r="V32" s="60" t="s">
        <v>94</v>
      </c>
      <c r="W32" s="60" t="s">
        <v>93</v>
      </c>
      <c r="X32" s="63" t="s">
        <v>95</v>
      </c>
    </row>
    <row r="33" spans="1:24">
      <c r="A33" s="60">
        <v>560</v>
      </c>
      <c r="B33" s="61" t="s">
        <v>741</v>
      </c>
      <c r="C33" s="62" t="s">
        <v>742</v>
      </c>
      <c r="D33" s="62" t="s">
        <v>743</v>
      </c>
      <c r="E33" s="60" t="s">
        <v>128</v>
      </c>
      <c r="F33" s="60" t="s">
        <v>87</v>
      </c>
      <c r="G33" s="60" t="s">
        <v>171</v>
      </c>
      <c r="H33" s="60" t="s">
        <v>707</v>
      </c>
      <c r="I33" s="60" t="s">
        <v>101</v>
      </c>
      <c r="J33" s="60" t="s">
        <v>2</v>
      </c>
      <c r="K33" s="60" t="s">
        <v>2</v>
      </c>
      <c r="L33" s="60" t="s">
        <v>87</v>
      </c>
      <c r="M33" s="60">
        <v>67</v>
      </c>
      <c r="N33" s="60" t="s">
        <v>87</v>
      </c>
      <c r="O33" s="60">
        <v>7</v>
      </c>
      <c r="P33" s="60" t="s">
        <v>722</v>
      </c>
      <c r="Q33" s="60" t="s">
        <v>92</v>
      </c>
      <c r="R33" s="60" t="s">
        <v>92</v>
      </c>
      <c r="S33" s="60" t="s">
        <v>37</v>
      </c>
      <c r="T33" s="60" t="s">
        <v>94</v>
      </c>
      <c r="U33" s="60" t="s">
        <v>93</v>
      </c>
      <c r="V33" s="60" t="s">
        <v>94</v>
      </c>
      <c r="W33" s="60" t="s">
        <v>93</v>
      </c>
      <c r="X33" s="63" t="s">
        <v>102</v>
      </c>
    </row>
    <row r="34" spans="1:24">
      <c r="A34" s="60">
        <v>628</v>
      </c>
      <c r="B34" s="61" t="s">
        <v>1279</v>
      </c>
      <c r="C34" s="62" t="s">
        <v>1280</v>
      </c>
      <c r="D34" s="62" t="s">
        <v>390</v>
      </c>
      <c r="E34" s="60" t="s">
        <v>154</v>
      </c>
      <c r="F34" s="60" t="s">
        <v>87</v>
      </c>
      <c r="G34" s="60" t="s">
        <v>99</v>
      </c>
      <c r="H34" s="60" t="s">
        <v>707</v>
      </c>
      <c r="I34" s="60" t="s">
        <v>90</v>
      </c>
      <c r="J34" s="60" t="s">
        <v>2</v>
      </c>
      <c r="K34" s="60" t="s">
        <v>2</v>
      </c>
      <c r="L34" s="60" t="s">
        <v>87</v>
      </c>
      <c r="M34" s="60">
        <v>51</v>
      </c>
      <c r="N34" s="60" t="s">
        <v>87</v>
      </c>
      <c r="O34" s="60">
        <v>9</v>
      </c>
      <c r="P34" s="60" t="s">
        <v>744</v>
      </c>
      <c r="Q34" s="60" t="s">
        <v>24</v>
      </c>
      <c r="R34" s="60" t="s">
        <v>20</v>
      </c>
      <c r="S34" s="60" t="s">
        <v>92</v>
      </c>
      <c r="T34" s="60" t="s">
        <v>92</v>
      </c>
      <c r="U34" s="60" t="s">
        <v>90</v>
      </c>
      <c r="V34" s="60" t="s">
        <v>92</v>
      </c>
      <c r="W34" s="60" t="s">
        <v>90</v>
      </c>
      <c r="X34" s="63" t="s">
        <v>95</v>
      </c>
    </row>
    <row r="35" spans="1:24">
      <c r="A35" s="60">
        <v>1037</v>
      </c>
      <c r="B35" s="61" t="s">
        <v>1484</v>
      </c>
      <c r="C35" s="62" t="s">
        <v>136</v>
      </c>
      <c r="D35" s="62" t="s">
        <v>97</v>
      </c>
      <c r="E35" s="60" t="s">
        <v>408</v>
      </c>
      <c r="F35" s="60" t="s">
        <v>170</v>
      </c>
      <c r="G35" s="60" t="s">
        <v>142</v>
      </c>
      <c r="H35" s="60" t="s">
        <v>707</v>
      </c>
      <c r="I35" s="60" t="s">
        <v>101</v>
      </c>
      <c r="J35" s="60" t="s">
        <v>2</v>
      </c>
      <c r="K35" s="60" t="s">
        <v>2</v>
      </c>
      <c r="L35" s="60" t="s">
        <v>87</v>
      </c>
      <c r="M35" s="60">
        <v>100</v>
      </c>
      <c r="N35" s="60" t="s">
        <v>87</v>
      </c>
      <c r="O35" s="60">
        <v>1</v>
      </c>
      <c r="P35" s="60" t="s">
        <v>729</v>
      </c>
      <c r="Q35" s="60" t="s">
        <v>92</v>
      </c>
      <c r="R35" s="60" t="s">
        <v>21</v>
      </c>
      <c r="S35" s="60" t="s">
        <v>38</v>
      </c>
      <c r="T35" s="60" t="s">
        <v>94</v>
      </c>
      <c r="U35" s="60" t="s">
        <v>90</v>
      </c>
      <c r="V35" s="60" t="s">
        <v>94</v>
      </c>
      <c r="W35" s="60" t="s">
        <v>93</v>
      </c>
      <c r="X35" s="63" t="s">
        <v>102</v>
      </c>
    </row>
    <row r="36" spans="1:24">
      <c r="A36" s="60">
        <v>1168</v>
      </c>
      <c r="B36" s="61" t="s">
        <v>135</v>
      </c>
      <c r="C36" s="62" t="s">
        <v>136</v>
      </c>
      <c r="D36" s="62" t="s">
        <v>137</v>
      </c>
      <c r="E36" s="60" t="s">
        <v>128</v>
      </c>
      <c r="F36" s="60" t="s">
        <v>87</v>
      </c>
      <c r="G36" s="60" t="s">
        <v>182</v>
      </c>
      <c r="H36" s="60" t="s">
        <v>100</v>
      </c>
      <c r="I36" s="60" t="s">
        <v>101</v>
      </c>
      <c r="J36" s="60" t="s">
        <v>2</v>
      </c>
      <c r="K36" s="60" t="s">
        <v>2</v>
      </c>
      <c r="L36" s="60">
        <v>12</v>
      </c>
      <c r="M36" s="60" t="s">
        <v>87</v>
      </c>
      <c r="N36" s="60">
        <v>3</v>
      </c>
      <c r="O36" s="60" t="s">
        <v>87</v>
      </c>
      <c r="P36" s="60">
        <v>3</v>
      </c>
      <c r="Q36" s="60" t="s">
        <v>92</v>
      </c>
      <c r="R36" s="60" t="s">
        <v>20</v>
      </c>
      <c r="S36" s="60" t="s">
        <v>38</v>
      </c>
      <c r="T36" s="60" t="s">
        <v>94</v>
      </c>
      <c r="U36" s="60" t="s">
        <v>93</v>
      </c>
      <c r="V36" s="60" t="s">
        <v>94</v>
      </c>
      <c r="W36" s="60" t="s">
        <v>93</v>
      </c>
      <c r="X36" s="63" t="s">
        <v>102</v>
      </c>
    </row>
    <row r="37" spans="1:24">
      <c r="A37" s="60">
        <v>1208</v>
      </c>
      <c r="B37" s="61" t="s">
        <v>138</v>
      </c>
      <c r="C37" s="62" t="s">
        <v>139</v>
      </c>
      <c r="D37" s="62" t="s">
        <v>140</v>
      </c>
      <c r="E37" s="60" t="s">
        <v>154</v>
      </c>
      <c r="F37" s="60" t="s">
        <v>170</v>
      </c>
      <c r="G37" s="60" t="s">
        <v>155</v>
      </c>
      <c r="H37" s="60" t="s">
        <v>100</v>
      </c>
      <c r="I37" s="60" t="s">
        <v>101</v>
      </c>
      <c r="J37" s="60" t="s">
        <v>2</v>
      </c>
      <c r="K37" s="60" t="s">
        <v>2</v>
      </c>
      <c r="L37" s="60">
        <v>200</v>
      </c>
      <c r="M37" s="60">
        <v>100</v>
      </c>
      <c r="N37" s="60">
        <v>2</v>
      </c>
      <c r="O37" s="60">
        <v>1</v>
      </c>
      <c r="P37" s="60" t="s">
        <v>172</v>
      </c>
      <c r="Q37" s="60" t="s">
        <v>92</v>
      </c>
      <c r="R37" s="60" t="s">
        <v>92</v>
      </c>
      <c r="S37" s="60" t="s">
        <v>38</v>
      </c>
      <c r="T37" s="60" t="s">
        <v>94</v>
      </c>
      <c r="U37" s="60" t="s">
        <v>108</v>
      </c>
      <c r="V37" s="60" t="s">
        <v>94</v>
      </c>
      <c r="W37" s="60" t="s">
        <v>93</v>
      </c>
      <c r="X37" s="63" t="s">
        <v>102</v>
      </c>
    </row>
    <row r="38" spans="1:24">
      <c r="A38" s="60">
        <v>1177</v>
      </c>
      <c r="B38" s="61" t="s">
        <v>1485</v>
      </c>
      <c r="C38" s="62" t="s">
        <v>1486</v>
      </c>
      <c r="D38" s="62" t="s">
        <v>490</v>
      </c>
      <c r="E38" s="60" t="s">
        <v>128</v>
      </c>
      <c r="F38" s="60" t="s">
        <v>170</v>
      </c>
      <c r="G38" s="60" t="s">
        <v>182</v>
      </c>
      <c r="H38" s="60" t="s">
        <v>707</v>
      </c>
      <c r="I38" s="60" t="s">
        <v>90</v>
      </c>
      <c r="J38" s="60" t="s">
        <v>2</v>
      </c>
      <c r="K38" s="60" t="s">
        <v>2</v>
      </c>
      <c r="L38" s="60" t="s">
        <v>87</v>
      </c>
      <c r="M38" s="60">
        <v>100</v>
      </c>
      <c r="N38" s="60" t="s">
        <v>87</v>
      </c>
      <c r="O38" s="60">
        <v>1</v>
      </c>
      <c r="P38" s="60" t="s">
        <v>729</v>
      </c>
      <c r="Q38" s="60" t="s">
        <v>92</v>
      </c>
      <c r="R38" s="60" t="s">
        <v>21</v>
      </c>
      <c r="S38" s="60" t="s">
        <v>3</v>
      </c>
      <c r="T38" s="60" t="s">
        <v>94</v>
      </c>
      <c r="U38" s="60" t="s">
        <v>108</v>
      </c>
      <c r="V38" s="60" t="s">
        <v>92</v>
      </c>
      <c r="W38" s="60" t="s">
        <v>93</v>
      </c>
      <c r="X38" s="63" t="s">
        <v>95</v>
      </c>
    </row>
    <row r="39" spans="1:24">
      <c r="A39" s="60">
        <v>1075</v>
      </c>
      <c r="B39" s="61" t="s">
        <v>745</v>
      </c>
      <c r="C39" s="62" t="s">
        <v>746</v>
      </c>
      <c r="D39" s="62" t="s">
        <v>747</v>
      </c>
      <c r="E39" s="60" t="s">
        <v>123</v>
      </c>
      <c r="F39" s="60" t="s">
        <v>87</v>
      </c>
      <c r="G39" s="60" t="s">
        <v>402</v>
      </c>
      <c r="H39" s="60" t="s">
        <v>707</v>
      </c>
      <c r="I39" s="60" t="s">
        <v>90</v>
      </c>
      <c r="J39" s="60" t="s">
        <v>2</v>
      </c>
      <c r="K39" s="60" t="s">
        <v>2</v>
      </c>
      <c r="L39" s="60" t="s">
        <v>87</v>
      </c>
      <c r="M39" s="60">
        <v>5</v>
      </c>
      <c r="N39" s="60" t="s">
        <v>87</v>
      </c>
      <c r="O39" s="60">
        <v>3</v>
      </c>
      <c r="P39" s="60" t="s">
        <v>727</v>
      </c>
      <c r="Q39" s="60" t="s">
        <v>92</v>
      </c>
      <c r="R39" s="60" t="s">
        <v>21</v>
      </c>
      <c r="S39" s="60" t="s">
        <v>38</v>
      </c>
      <c r="T39" s="60" t="s">
        <v>92</v>
      </c>
      <c r="U39" s="60" t="s">
        <v>108</v>
      </c>
      <c r="V39" s="60" t="s">
        <v>92</v>
      </c>
      <c r="W39" s="60" t="s">
        <v>93</v>
      </c>
      <c r="X39" s="63" t="s">
        <v>95</v>
      </c>
    </row>
    <row r="40" spans="1:24">
      <c r="A40" s="60">
        <v>502</v>
      </c>
      <c r="B40" s="61" t="s">
        <v>1487</v>
      </c>
      <c r="C40" s="62" t="s">
        <v>1488</v>
      </c>
      <c r="D40" s="62" t="s">
        <v>1489</v>
      </c>
      <c r="E40" s="60" t="s">
        <v>149</v>
      </c>
      <c r="F40" s="60" t="s">
        <v>87</v>
      </c>
      <c r="G40" s="60" t="s">
        <v>112</v>
      </c>
      <c r="H40" s="60" t="s">
        <v>100</v>
      </c>
      <c r="I40" s="60" t="s">
        <v>90</v>
      </c>
      <c r="J40" s="60" t="s">
        <v>2</v>
      </c>
      <c r="K40" s="60" t="s">
        <v>3</v>
      </c>
      <c r="L40" s="60">
        <v>26</v>
      </c>
      <c r="M40" s="60">
        <v>1</v>
      </c>
      <c r="N40" s="60">
        <v>4</v>
      </c>
      <c r="O40" s="60" t="s">
        <v>118</v>
      </c>
      <c r="P40" s="60" t="s">
        <v>174</v>
      </c>
      <c r="Q40" s="60" t="s">
        <v>92</v>
      </c>
      <c r="R40" s="60" t="s">
        <v>21</v>
      </c>
      <c r="S40" s="60" t="s">
        <v>3</v>
      </c>
      <c r="T40" s="60" t="s">
        <v>94</v>
      </c>
      <c r="U40" s="60" t="s">
        <v>108</v>
      </c>
      <c r="V40" s="60" t="s">
        <v>92</v>
      </c>
      <c r="W40" s="60" t="s">
        <v>93</v>
      </c>
      <c r="X40" s="63" t="s">
        <v>95</v>
      </c>
    </row>
    <row r="41" spans="1:24">
      <c r="A41" s="60">
        <v>60</v>
      </c>
      <c r="B41" s="61" t="s">
        <v>1281</v>
      </c>
      <c r="C41" s="62" t="s">
        <v>750</v>
      </c>
      <c r="D41" s="62" t="s">
        <v>201</v>
      </c>
      <c r="E41" s="60" t="s">
        <v>86</v>
      </c>
      <c r="F41" s="60" t="s">
        <v>170</v>
      </c>
      <c r="G41" s="60" t="s">
        <v>117</v>
      </c>
      <c r="H41" s="60" t="s">
        <v>89</v>
      </c>
      <c r="I41" s="60" t="s">
        <v>101</v>
      </c>
      <c r="J41" s="60" t="s">
        <v>2</v>
      </c>
      <c r="K41" s="60" t="s">
        <v>2</v>
      </c>
      <c r="L41" s="60">
        <v>200</v>
      </c>
      <c r="M41" s="60">
        <v>33</v>
      </c>
      <c r="N41" s="60">
        <v>2</v>
      </c>
      <c r="O41" s="60" t="s">
        <v>118</v>
      </c>
      <c r="P41" s="60" t="s">
        <v>1258</v>
      </c>
      <c r="Q41" s="60" t="s">
        <v>22</v>
      </c>
      <c r="R41" s="60" t="s">
        <v>92</v>
      </c>
      <c r="S41" s="60" t="s">
        <v>38</v>
      </c>
      <c r="T41" s="60" t="s">
        <v>94</v>
      </c>
      <c r="U41" s="60" t="s">
        <v>108</v>
      </c>
      <c r="V41" s="60" t="s">
        <v>92</v>
      </c>
      <c r="W41" s="60" t="s">
        <v>93</v>
      </c>
      <c r="X41" s="63" t="s">
        <v>102</v>
      </c>
    </row>
    <row r="42" spans="1:24">
      <c r="A42" s="60">
        <v>658</v>
      </c>
      <c r="B42" s="61" t="s">
        <v>1490</v>
      </c>
      <c r="C42" s="62" t="s">
        <v>1491</v>
      </c>
      <c r="D42" s="62" t="s">
        <v>331</v>
      </c>
      <c r="E42" s="60" t="s">
        <v>106</v>
      </c>
      <c r="F42" s="60" t="s">
        <v>87</v>
      </c>
      <c r="G42" s="60" t="s">
        <v>117</v>
      </c>
      <c r="H42" s="60" t="s">
        <v>707</v>
      </c>
      <c r="I42" s="60" t="s">
        <v>90</v>
      </c>
      <c r="J42" s="60" t="s">
        <v>2</v>
      </c>
      <c r="K42" s="60" t="s">
        <v>2</v>
      </c>
      <c r="L42" s="60" t="s">
        <v>87</v>
      </c>
      <c r="M42" s="60">
        <v>25</v>
      </c>
      <c r="N42" s="60" t="s">
        <v>87</v>
      </c>
      <c r="O42" s="60">
        <v>15</v>
      </c>
      <c r="P42" s="60" t="s">
        <v>836</v>
      </c>
      <c r="Q42" s="60" t="s">
        <v>24</v>
      </c>
      <c r="R42" s="60" t="s">
        <v>21</v>
      </c>
      <c r="S42" s="60" t="s">
        <v>23</v>
      </c>
      <c r="T42" s="60" t="s">
        <v>94</v>
      </c>
      <c r="U42" s="60" t="s">
        <v>108</v>
      </c>
      <c r="V42" s="60" t="s">
        <v>94</v>
      </c>
      <c r="W42" s="60" t="s">
        <v>90</v>
      </c>
      <c r="X42" s="63" t="s">
        <v>95</v>
      </c>
    </row>
    <row r="43" spans="1:24">
      <c r="A43" s="60">
        <v>898</v>
      </c>
      <c r="B43" s="61" t="s">
        <v>1241</v>
      </c>
      <c r="C43" s="62" t="s">
        <v>1242</v>
      </c>
      <c r="D43" s="62" t="s">
        <v>375</v>
      </c>
      <c r="E43" s="60" t="s">
        <v>266</v>
      </c>
      <c r="F43" s="60" t="s">
        <v>87</v>
      </c>
      <c r="G43" s="60" t="s">
        <v>99</v>
      </c>
      <c r="H43" s="60" t="s">
        <v>707</v>
      </c>
      <c r="I43" s="60" t="s">
        <v>90</v>
      </c>
      <c r="J43" s="60" t="s">
        <v>2</v>
      </c>
      <c r="K43" s="60" t="s">
        <v>2</v>
      </c>
      <c r="L43" s="60" t="s">
        <v>87</v>
      </c>
      <c r="M43" s="60">
        <v>30</v>
      </c>
      <c r="N43" s="60" t="s">
        <v>87</v>
      </c>
      <c r="O43" s="60">
        <v>4</v>
      </c>
      <c r="P43" s="60" t="s">
        <v>754</v>
      </c>
      <c r="Q43" s="60" t="s">
        <v>24</v>
      </c>
      <c r="R43" s="60" t="s">
        <v>20</v>
      </c>
      <c r="S43" s="60" t="s">
        <v>23</v>
      </c>
      <c r="T43" s="60" t="s">
        <v>94</v>
      </c>
      <c r="U43" s="60" t="s">
        <v>108</v>
      </c>
      <c r="V43" s="60" t="s">
        <v>92</v>
      </c>
      <c r="W43" s="60" t="s">
        <v>93</v>
      </c>
      <c r="X43" s="63" t="s">
        <v>95</v>
      </c>
    </row>
    <row r="44" spans="1:24">
      <c r="A44" s="60">
        <v>1239</v>
      </c>
      <c r="B44" s="61" t="s">
        <v>1492</v>
      </c>
      <c r="C44" s="62" t="s">
        <v>1493</v>
      </c>
      <c r="D44" s="62" t="s">
        <v>1494</v>
      </c>
      <c r="E44" s="60" t="s">
        <v>42</v>
      </c>
      <c r="F44" s="60" t="s">
        <v>87</v>
      </c>
      <c r="G44" s="60" t="s">
        <v>107</v>
      </c>
      <c r="H44" s="60" t="s">
        <v>707</v>
      </c>
      <c r="I44" s="60" t="s">
        <v>90</v>
      </c>
      <c r="J44" s="60" t="s">
        <v>71</v>
      </c>
      <c r="K44" s="60" t="s">
        <v>2</v>
      </c>
      <c r="L44" s="60" t="s">
        <v>87</v>
      </c>
      <c r="M44" s="60">
        <v>7</v>
      </c>
      <c r="N44" s="60" t="s">
        <v>87</v>
      </c>
      <c r="O44" s="60">
        <v>6</v>
      </c>
      <c r="P44" s="60" t="s">
        <v>740</v>
      </c>
      <c r="Q44" s="60" t="s">
        <v>24</v>
      </c>
      <c r="R44" s="60" t="s">
        <v>20</v>
      </c>
      <c r="S44" s="60" t="s">
        <v>37</v>
      </c>
      <c r="T44" s="60" t="s">
        <v>94</v>
      </c>
      <c r="U44" s="60" t="s">
        <v>90</v>
      </c>
      <c r="V44" s="60" t="s">
        <v>94</v>
      </c>
      <c r="W44" s="60" t="s">
        <v>93</v>
      </c>
      <c r="X44" s="63" t="s">
        <v>95</v>
      </c>
    </row>
    <row r="45" spans="1:24">
      <c r="A45" s="60">
        <v>419</v>
      </c>
      <c r="B45" s="61" t="s">
        <v>751</v>
      </c>
      <c r="C45" s="62" t="s">
        <v>752</v>
      </c>
      <c r="D45" s="62" t="s">
        <v>753</v>
      </c>
      <c r="E45" s="60" t="s">
        <v>249</v>
      </c>
      <c r="F45" s="60" t="s">
        <v>87</v>
      </c>
      <c r="G45" s="60" t="s">
        <v>99</v>
      </c>
      <c r="H45" s="60" t="s">
        <v>707</v>
      </c>
      <c r="I45" s="60" t="s">
        <v>90</v>
      </c>
      <c r="J45" s="60" t="s">
        <v>2</v>
      </c>
      <c r="K45" s="60" t="s">
        <v>2</v>
      </c>
      <c r="L45" s="60" t="s">
        <v>87</v>
      </c>
      <c r="M45" s="60">
        <v>64</v>
      </c>
      <c r="N45" s="60" t="s">
        <v>87</v>
      </c>
      <c r="O45" s="60">
        <v>5</v>
      </c>
      <c r="P45" s="60" t="s">
        <v>708</v>
      </c>
      <c r="Q45" s="60" t="s">
        <v>92</v>
      </c>
      <c r="R45" s="60" t="s">
        <v>92</v>
      </c>
      <c r="S45" s="60" t="s">
        <v>37</v>
      </c>
      <c r="T45" s="60" t="s">
        <v>94</v>
      </c>
      <c r="U45" s="60" t="s">
        <v>90</v>
      </c>
      <c r="V45" s="60" t="s">
        <v>92</v>
      </c>
      <c r="W45" s="60" t="s">
        <v>90</v>
      </c>
      <c r="X45" s="63" t="s">
        <v>95</v>
      </c>
    </row>
    <row r="46" spans="1:24">
      <c r="A46" s="60">
        <v>320</v>
      </c>
      <c r="B46" s="61" t="s">
        <v>1282</v>
      </c>
      <c r="C46" s="62" t="s">
        <v>1283</v>
      </c>
      <c r="D46" s="62" t="s">
        <v>122</v>
      </c>
      <c r="E46" s="60" t="s">
        <v>50</v>
      </c>
      <c r="F46" s="60" t="s">
        <v>87</v>
      </c>
      <c r="G46" s="60" t="s">
        <v>150</v>
      </c>
      <c r="H46" s="60" t="s">
        <v>100</v>
      </c>
      <c r="I46" s="60" t="s">
        <v>90</v>
      </c>
      <c r="J46" s="60" t="s">
        <v>2</v>
      </c>
      <c r="K46" s="60" t="s">
        <v>2</v>
      </c>
      <c r="L46" s="60">
        <v>76</v>
      </c>
      <c r="M46" s="60">
        <v>11</v>
      </c>
      <c r="N46" s="60">
        <v>8</v>
      </c>
      <c r="O46" s="60" t="s">
        <v>344</v>
      </c>
      <c r="P46" s="60" t="s">
        <v>198</v>
      </c>
      <c r="Q46" s="60" t="s">
        <v>92</v>
      </c>
      <c r="R46" s="60" t="s">
        <v>92</v>
      </c>
      <c r="S46" s="60" t="s">
        <v>37</v>
      </c>
      <c r="T46" s="60" t="s">
        <v>94</v>
      </c>
      <c r="U46" s="60" t="s">
        <v>108</v>
      </c>
      <c r="V46" s="60" t="s">
        <v>92</v>
      </c>
      <c r="W46" s="60" t="s">
        <v>90</v>
      </c>
      <c r="X46" s="63" t="s">
        <v>95</v>
      </c>
    </row>
    <row r="47" spans="1:24">
      <c r="A47" s="60">
        <v>777</v>
      </c>
      <c r="B47" s="61" t="s">
        <v>755</v>
      </c>
      <c r="C47" s="62" t="s">
        <v>756</v>
      </c>
      <c r="D47" s="62" t="s">
        <v>757</v>
      </c>
      <c r="E47" s="60" t="s">
        <v>194</v>
      </c>
      <c r="F47" s="60" t="s">
        <v>87</v>
      </c>
      <c r="G47" s="60" t="s">
        <v>182</v>
      </c>
      <c r="H47" s="60" t="s">
        <v>707</v>
      </c>
      <c r="I47" s="60" t="s">
        <v>90</v>
      </c>
      <c r="J47" s="60" t="s">
        <v>2</v>
      </c>
      <c r="K47" s="60" t="s">
        <v>3</v>
      </c>
      <c r="L47" s="60" t="s">
        <v>87</v>
      </c>
      <c r="M47" s="60">
        <v>58</v>
      </c>
      <c r="N47" s="60" t="s">
        <v>87</v>
      </c>
      <c r="O47" s="60">
        <v>15</v>
      </c>
      <c r="P47" s="60" t="s">
        <v>836</v>
      </c>
      <c r="Q47" s="60" t="s">
        <v>24</v>
      </c>
      <c r="R47" s="60" t="s">
        <v>21</v>
      </c>
      <c r="S47" s="60" t="s">
        <v>37</v>
      </c>
      <c r="T47" s="60" t="s">
        <v>94</v>
      </c>
      <c r="U47" s="60" t="s">
        <v>108</v>
      </c>
      <c r="V47" s="60" t="s">
        <v>92</v>
      </c>
      <c r="W47" s="60" t="s">
        <v>93</v>
      </c>
      <c r="X47" s="63" t="s">
        <v>95</v>
      </c>
    </row>
    <row r="48" spans="1:24">
      <c r="A48" s="60">
        <v>108</v>
      </c>
      <c r="B48" s="61" t="s">
        <v>143</v>
      </c>
      <c r="C48" s="62" t="s">
        <v>144</v>
      </c>
      <c r="D48" s="62" t="s">
        <v>145</v>
      </c>
      <c r="E48" s="60" t="s">
        <v>146</v>
      </c>
      <c r="F48" s="60" t="s">
        <v>87</v>
      </c>
      <c r="G48" s="60" t="s">
        <v>112</v>
      </c>
      <c r="H48" s="60" t="s">
        <v>100</v>
      </c>
      <c r="I48" s="60" t="s">
        <v>101</v>
      </c>
      <c r="J48" s="60" t="s">
        <v>2</v>
      </c>
      <c r="K48" s="60" t="s">
        <v>2</v>
      </c>
      <c r="L48" s="60">
        <v>175</v>
      </c>
      <c r="M48" s="60">
        <v>1</v>
      </c>
      <c r="N48" s="60">
        <v>7</v>
      </c>
      <c r="O48" s="60" t="s">
        <v>633</v>
      </c>
      <c r="P48" s="60" t="s">
        <v>552</v>
      </c>
      <c r="Q48" s="60" t="s">
        <v>19</v>
      </c>
      <c r="R48" s="60" t="s">
        <v>21</v>
      </c>
      <c r="S48" s="60" t="s">
        <v>92</v>
      </c>
      <c r="T48" s="60" t="s">
        <v>92</v>
      </c>
      <c r="U48" s="60" t="s">
        <v>108</v>
      </c>
      <c r="V48" s="60" t="s">
        <v>92</v>
      </c>
      <c r="W48" s="60" t="s">
        <v>90</v>
      </c>
      <c r="X48" s="63" t="s">
        <v>102</v>
      </c>
    </row>
    <row r="49" spans="1:24">
      <c r="A49" s="60">
        <v>1214</v>
      </c>
      <c r="B49" s="61" t="s">
        <v>1495</v>
      </c>
      <c r="C49" s="62" t="s">
        <v>1496</v>
      </c>
      <c r="D49" s="62" t="s">
        <v>148</v>
      </c>
      <c r="E49" s="60" t="s">
        <v>154</v>
      </c>
      <c r="F49" s="60" t="s">
        <v>170</v>
      </c>
      <c r="G49" s="60" t="s">
        <v>164</v>
      </c>
      <c r="H49" s="60" t="s">
        <v>100</v>
      </c>
      <c r="I49" s="60" t="s">
        <v>90</v>
      </c>
      <c r="J49" s="60" t="s">
        <v>2</v>
      </c>
      <c r="K49" s="60" t="s">
        <v>2</v>
      </c>
      <c r="L49" s="60">
        <v>200</v>
      </c>
      <c r="M49" s="60">
        <v>100</v>
      </c>
      <c r="N49" s="60">
        <v>1</v>
      </c>
      <c r="O49" s="60">
        <v>1</v>
      </c>
      <c r="P49" s="60" t="s">
        <v>255</v>
      </c>
      <c r="Q49" s="60" t="s">
        <v>92</v>
      </c>
      <c r="R49" s="60" t="s">
        <v>21</v>
      </c>
      <c r="S49" s="60" t="s">
        <v>92</v>
      </c>
      <c r="T49" s="60" t="s">
        <v>94</v>
      </c>
      <c r="U49" s="60" t="s">
        <v>90</v>
      </c>
      <c r="V49" s="60" t="s">
        <v>94</v>
      </c>
      <c r="W49" s="60" t="s">
        <v>93</v>
      </c>
      <c r="X49" s="63" t="s">
        <v>95</v>
      </c>
    </row>
    <row r="50" spans="1:24">
      <c r="A50" s="60">
        <v>933</v>
      </c>
      <c r="B50" s="61" t="s">
        <v>1497</v>
      </c>
      <c r="C50" s="62" t="s">
        <v>1498</v>
      </c>
      <c r="D50" s="62" t="s">
        <v>122</v>
      </c>
      <c r="E50" s="60" t="s">
        <v>133</v>
      </c>
      <c r="F50" s="60" t="s">
        <v>170</v>
      </c>
      <c r="G50" s="60" t="s">
        <v>112</v>
      </c>
      <c r="H50" s="60" t="s">
        <v>100</v>
      </c>
      <c r="I50" s="60" t="s">
        <v>90</v>
      </c>
      <c r="J50" s="60" t="s">
        <v>2</v>
      </c>
      <c r="K50" s="60" t="s">
        <v>2</v>
      </c>
      <c r="L50" s="60">
        <v>200</v>
      </c>
      <c r="M50" s="60">
        <v>100</v>
      </c>
      <c r="N50" s="60">
        <v>2</v>
      </c>
      <c r="O50" s="60">
        <v>1</v>
      </c>
      <c r="P50" s="60" t="s">
        <v>172</v>
      </c>
      <c r="Q50" s="60" t="s">
        <v>92</v>
      </c>
      <c r="R50" s="60" t="s">
        <v>21</v>
      </c>
      <c r="S50" s="60" t="s">
        <v>37</v>
      </c>
      <c r="T50" s="60" t="s">
        <v>94</v>
      </c>
      <c r="U50" s="60" t="s">
        <v>90</v>
      </c>
      <c r="V50" s="60" t="s">
        <v>94</v>
      </c>
      <c r="W50" s="60" t="s">
        <v>93</v>
      </c>
      <c r="X50" s="63" t="s">
        <v>95</v>
      </c>
    </row>
    <row r="51" spans="1:24">
      <c r="A51" s="60">
        <v>240</v>
      </c>
      <c r="B51" s="61" t="s">
        <v>1284</v>
      </c>
      <c r="C51" s="62" t="s">
        <v>1285</v>
      </c>
      <c r="D51" s="62" t="s">
        <v>1286</v>
      </c>
      <c r="E51" s="60" t="s">
        <v>169</v>
      </c>
      <c r="F51" s="60" t="s">
        <v>87</v>
      </c>
      <c r="G51" s="60" t="s">
        <v>107</v>
      </c>
      <c r="H51" s="60" t="s">
        <v>707</v>
      </c>
      <c r="I51" s="60" t="s">
        <v>101</v>
      </c>
      <c r="J51" s="60" t="s">
        <v>2</v>
      </c>
      <c r="K51" s="60" t="s">
        <v>2</v>
      </c>
      <c r="L51" s="60" t="s">
        <v>87</v>
      </c>
      <c r="M51" s="60">
        <v>34</v>
      </c>
      <c r="N51" s="60" t="s">
        <v>87</v>
      </c>
      <c r="O51" s="60">
        <v>5</v>
      </c>
      <c r="P51" s="60" t="s">
        <v>708</v>
      </c>
      <c r="Q51" s="60" t="s">
        <v>22</v>
      </c>
      <c r="R51" s="60" t="s">
        <v>21</v>
      </c>
      <c r="S51" s="60" t="s">
        <v>37</v>
      </c>
      <c r="T51" s="60" t="s">
        <v>94</v>
      </c>
      <c r="U51" s="60" t="s">
        <v>108</v>
      </c>
      <c r="V51" s="60" t="s">
        <v>92</v>
      </c>
      <c r="W51" s="60" t="s">
        <v>90</v>
      </c>
      <c r="X51" s="63" t="s">
        <v>102</v>
      </c>
    </row>
    <row r="52" spans="1:24">
      <c r="A52" s="60">
        <v>1153</v>
      </c>
      <c r="B52" s="61" t="s">
        <v>1287</v>
      </c>
      <c r="C52" s="62" t="s">
        <v>1288</v>
      </c>
      <c r="D52" s="62" t="s">
        <v>442</v>
      </c>
      <c r="E52" s="60" t="s">
        <v>141</v>
      </c>
      <c r="F52" s="60" t="s">
        <v>170</v>
      </c>
      <c r="G52" s="60" t="s">
        <v>150</v>
      </c>
      <c r="H52" s="60" t="s">
        <v>100</v>
      </c>
      <c r="I52" s="60" t="s">
        <v>101</v>
      </c>
      <c r="J52" s="60" t="s">
        <v>2</v>
      </c>
      <c r="K52" s="60" t="s">
        <v>2</v>
      </c>
      <c r="L52" s="60">
        <v>200</v>
      </c>
      <c r="M52" s="60">
        <v>100</v>
      </c>
      <c r="N52" s="60">
        <v>1</v>
      </c>
      <c r="O52" s="60">
        <v>1</v>
      </c>
      <c r="P52" s="60" t="s">
        <v>255</v>
      </c>
      <c r="Q52" s="60" t="s">
        <v>92</v>
      </c>
      <c r="R52" s="60" t="s">
        <v>21</v>
      </c>
      <c r="S52" s="60" t="s">
        <v>37</v>
      </c>
      <c r="T52" s="60" t="s">
        <v>94</v>
      </c>
      <c r="U52" s="60" t="s">
        <v>90</v>
      </c>
      <c r="V52" s="60" t="s">
        <v>94</v>
      </c>
      <c r="W52" s="60" t="s">
        <v>101</v>
      </c>
      <c r="X52" s="63" t="s">
        <v>102</v>
      </c>
    </row>
    <row r="53" spans="1:24">
      <c r="A53" s="60">
        <v>354</v>
      </c>
      <c r="B53" s="61" t="s">
        <v>1289</v>
      </c>
      <c r="C53" s="62" t="s">
        <v>1290</v>
      </c>
      <c r="D53" s="62" t="s">
        <v>168</v>
      </c>
      <c r="E53" s="60" t="s">
        <v>152</v>
      </c>
      <c r="F53" s="60" t="s">
        <v>87</v>
      </c>
      <c r="G53" s="60" t="s">
        <v>270</v>
      </c>
      <c r="H53" s="60" t="s">
        <v>707</v>
      </c>
      <c r="I53" s="60" t="s">
        <v>101</v>
      </c>
      <c r="J53" s="60" t="s">
        <v>3</v>
      </c>
      <c r="K53" s="60" t="s">
        <v>3</v>
      </c>
      <c r="L53" s="60" t="s">
        <v>87</v>
      </c>
      <c r="M53" s="60">
        <v>48</v>
      </c>
      <c r="N53" s="60" t="s">
        <v>87</v>
      </c>
      <c r="O53" s="60">
        <v>8</v>
      </c>
      <c r="P53" s="60" t="s">
        <v>714</v>
      </c>
      <c r="Q53" s="60" t="s">
        <v>92</v>
      </c>
      <c r="R53" s="60" t="s">
        <v>92</v>
      </c>
      <c r="S53" s="60" t="s">
        <v>3</v>
      </c>
      <c r="T53" s="60" t="s">
        <v>94</v>
      </c>
      <c r="U53" s="60" t="s">
        <v>90</v>
      </c>
      <c r="V53" s="60" t="s">
        <v>92</v>
      </c>
      <c r="W53" s="60" t="s">
        <v>108</v>
      </c>
      <c r="X53" s="63" t="s">
        <v>102</v>
      </c>
    </row>
    <row r="54" spans="1:24">
      <c r="A54" s="60">
        <v>1073</v>
      </c>
      <c r="B54" s="61" t="s">
        <v>759</v>
      </c>
      <c r="C54" s="62" t="s">
        <v>760</v>
      </c>
      <c r="D54" s="62" t="s">
        <v>761</v>
      </c>
      <c r="E54" s="60" t="s">
        <v>123</v>
      </c>
      <c r="F54" s="60" t="s">
        <v>170</v>
      </c>
      <c r="G54" s="60" t="s">
        <v>171</v>
      </c>
      <c r="H54" s="60" t="s">
        <v>707</v>
      </c>
      <c r="I54" s="60" t="s">
        <v>101</v>
      </c>
      <c r="J54" s="60" t="s">
        <v>2</v>
      </c>
      <c r="K54" s="60" t="s">
        <v>2</v>
      </c>
      <c r="L54" s="60" t="s">
        <v>87</v>
      </c>
      <c r="M54" s="60">
        <v>100</v>
      </c>
      <c r="N54" s="60" t="s">
        <v>87</v>
      </c>
      <c r="O54" s="60">
        <v>1</v>
      </c>
      <c r="P54" s="60" t="s">
        <v>729</v>
      </c>
      <c r="Q54" s="60" t="s">
        <v>92</v>
      </c>
      <c r="R54" s="60" t="s">
        <v>92</v>
      </c>
      <c r="S54" s="60" t="s">
        <v>37</v>
      </c>
      <c r="T54" s="60" t="s">
        <v>94</v>
      </c>
      <c r="U54" s="60" t="s">
        <v>108</v>
      </c>
      <c r="V54" s="60" t="s">
        <v>94</v>
      </c>
      <c r="W54" s="60" t="s">
        <v>93</v>
      </c>
      <c r="X54" s="63" t="s">
        <v>102</v>
      </c>
    </row>
    <row r="55" spans="1:24">
      <c r="A55" s="60">
        <v>809</v>
      </c>
      <c r="B55" s="61" t="s">
        <v>762</v>
      </c>
      <c r="C55" s="62" t="s">
        <v>763</v>
      </c>
      <c r="D55" s="62" t="s">
        <v>201</v>
      </c>
      <c r="E55" s="60" t="s">
        <v>318</v>
      </c>
      <c r="F55" s="60" t="s">
        <v>87</v>
      </c>
      <c r="G55" s="60" t="s">
        <v>376</v>
      </c>
      <c r="H55" s="60" t="s">
        <v>707</v>
      </c>
      <c r="I55" s="60" t="s">
        <v>90</v>
      </c>
      <c r="J55" s="60" t="s">
        <v>2</v>
      </c>
      <c r="K55" s="60" t="s">
        <v>2</v>
      </c>
      <c r="L55" s="60" t="s">
        <v>87</v>
      </c>
      <c r="M55" s="60">
        <v>34</v>
      </c>
      <c r="N55" s="60" t="s">
        <v>87</v>
      </c>
      <c r="O55" s="60">
        <v>13</v>
      </c>
      <c r="P55" s="60" t="s">
        <v>718</v>
      </c>
      <c r="Q55" s="60" t="s">
        <v>92</v>
      </c>
      <c r="R55" s="60" t="s">
        <v>92</v>
      </c>
      <c r="S55" s="60" t="s">
        <v>23</v>
      </c>
      <c r="T55" s="60" t="s">
        <v>94</v>
      </c>
      <c r="U55" s="60" t="s">
        <v>93</v>
      </c>
      <c r="V55" s="60" t="s">
        <v>92</v>
      </c>
      <c r="W55" s="60" t="s">
        <v>90</v>
      </c>
      <c r="X55" s="63" t="s">
        <v>95</v>
      </c>
    </row>
    <row r="56" spans="1:24">
      <c r="A56" s="60">
        <v>1070</v>
      </c>
      <c r="B56" s="61" t="s">
        <v>764</v>
      </c>
      <c r="C56" s="62" t="s">
        <v>765</v>
      </c>
      <c r="D56" s="62" t="s">
        <v>311</v>
      </c>
      <c r="E56" s="60" t="s">
        <v>123</v>
      </c>
      <c r="F56" s="60" t="s">
        <v>170</v>
      </c>
      <c r="G56" s="60" t="s">
        <v>164</v>
      </c>
      <c r="H56" s="60" t="s">
        <v>707</v>
      </c>
      <c r="I56" s="60" t="s">
        <v>90</v>
      </c>
      <c r="J56" s="60" t="s">
        <v>3</v>
      </c>
      <c r="K56" s="60" t="s">
        <v>3</v>
      </c>
      <c r="L56" s="60" t="s">
        <v>87</v>
      </c>
      <c r="M56" s="60">
        <v>100</v>
      </c>
      <c r="N56" s="60" t="s">
        <v>87</v>
      </c>
      <c r="O56" s="60">
        <v>1</v>
      </c>
      <c r="P56" s="60" t="s">
        <v>729</v>
      </c>
      <c r="Q56" s="60" t="s">
        <v>92</v>
      </c>
      <c r="R56" s="60" t="s">
        <v>92</v>
      </c>
      <c r="S56" s="60" t="s">
        <v>38</v>
      </c>
      <c r="T56" s="60" t="s">
        <v>92</v>
      </c>
      <c r="U56" s="60" t="s">
        <v>101</v>
      </c>
      <c r="V56" s="60" t="s">
        <v>92</v>
      </c>
      <c r="W56" s="60" t="s">
        <v>93</v>
      </c>
      <c r="X56" s="63" t="s">
        <v>95</v>
      </c>
    </row>
    <row r="57" spans="1:24">
      <c r="A57" s="60">
        <v>1085</v>
      </c>
      <c r="B57" s="61" t="s">
        <v>1499</v>
      </c>
      <c r="C57" s="62" t="s">
        <v>1500</v>
      </c>
      <c r="D57" s="62" t="s">
        <v>97</v>
      </c>
      <c r="E57" s="60" t="s">
        <v>123</v>
      </c>
      <c r="F57" s="60" t="s">
        <v>87</v>
      </c>
      <c r="G57" s="60" t="s">
        <v>107</v>
      </c>
      <c r="H57" s="60" t="s">
        <v>707</v>
      </c>
      <c r="I57" s="60" t="s">
        <v>90</v>
      </c>
      <c r="J57" s="60" t="s">
        <v>2</v>
      </c>
      <c r="K57" s="60" t="s">
        <v>2</v>
      </c>
      <c r="L57" s="60" t="s">
        <v>87</v>
      </c>
      <c r="M57" s="60">
        <v>24</v>
      </c>
      <c r="N57" s="60" t="s">
        <v>87</v>
      </c>
      <c r="O57" s="60">
        <v>16</v>
      </c>
      <c r="P57" s="60" t="s">
        <v>726</v>
      </c>
      <c r="Q57" s="60" t="s">
        <v>22</v>
      </c>
      <c r="R57" s="60" t="s">
        <v>21</v>
      </c>
      <c r="S57" s="60" t="s">
        <v>3</v>
      </c>
      <c r="T57" s="60" t="s">
        <v>94</v>
      </c>
      <c r="U57" s="60" t="s">
        <v>93</v>
      </c>
      <c r="V57" s="60" t="s">
        <v>92</v>
      </c>
      <c r="W57" s="60" t="s">
        <v>90</v>
      </c>
      <c r="X57" s="63" t="s">
        <v>95</v>
      </c>
    </row>
    <row r="58" spans="1:24">
      <c r="A58" s="60">
        <v>833</v>
      </c>
      <c r="B58" s="61" t="s">
        <v>767</v>
      </c>
      <c r="C58" s="62" t="s">
        <v>768</v>
      </c>
      <c r="D58" s="62" t="s">
        <v>769</v>
      </c>
      <c r="E58" s="60" t="s">
        <v>209</v>
      </c>
      <c r="F58" s="60" t="s">
        <v>87</v>
      </c>
      <c r="G58" s="60" t="s">
        <v>402</v>
      </c>
      <c r="H58" s="60" t="s">
        <v>707</v>
      </c>
      <c r="I58" s="60" t="s">
        <v>101</v>
      </c>
      <c r="J58" s="60" t="s">
        <v>2</v>
      </c>
      <c r="K58" s="60" t="s">
        <v>2</v>
      </c>
      <c r="L58" s="60" t="s">
        <v>87</v>
      </c>
      <c r="M58" s="60">
        <v>66</v>
      </c>
      <c r="N58" s="60" t="s">
        <v>87</v>
      </c>
      <c r="O58" s="60">
        <v>16</v>
      </c>
      <c r="P58" s="60" t="s">
        <v>726</v>
      </c>
      <c r="Q58" s="60" t="s">
        <v>19</v>
      </c>
      <c r="R58" s="60" t="s">
        <v>92</v>
      </c>
      <c r="S58" s="60" t="s">
        <v>92</v>
      </c>
      <c r="T58" s="60" t="s">
        <v>94</v>
      </c>
      <c r="U58" s="60" t="s">
        <v>101</v>
      </c>
      <c r="V58" s="60" t="s">
        <v>92</v>
      </c>
      <c r="W58" s="60" t="s">
        <v>90</v>
      </c>
      <c r="X58" s="63" t="s">
        <v>102</v>
      </c>
    </row>
    <row r="59" spans="1:24">
      <c r="A59" s="60">
        <v>1182</v>
      </c>
      <c r="B59" s="61" t="s">
        <v>1291</v>
      </c>
      <c r="C59" s="62" t="s">
        <v>1292</v>
      </c>
      <c r="D59" s="62" t="s">
        <v>1293</v>
      </c>
      <c r="E59" s="60" t="s">
        <v>163</v>
      </c>
      <c r="F59" s="60" t="s">
        <v>87</v>
      </c>
      <c r="G59" s="60" t="s">
        <v>99</v>
      </c>
      <c r="H59" s="60" t="s">
        <v>89</v>
      </c>
      <c r="I59" s="60" t="s">
        <v>101</v>
      </c>
      <c r="J59" s="60" t="s">
        <v>2</v>
      </c>
      <c r="K59" s="60" t="s">
        <v>2</v>
      </c>
      <c r="L59" s="60">
        <v>16</v>
      </c>
      <c r="M59" s="60">
        <v>53</v>
      </c>
      <c r="N59" s="60">
        <v>3</v>
      </c>
      <c r="O59" s="60" t="s">
        <v>118</v>
      </c>
      <c r="P59" s="60" t="s">
        <v>119</v>
      </c>
      <c r="Q59" s="60" t="s">
        <v>92</v>
      </c>
      <c r="R59" s="60" t="s">
        <v>20</v>
      </c>
      <c r="S59" s="60" t="s">
        <v>92</v>
      </c>
      <c r="T59" s="60" t="s">
        <v>94</v>
      </c>
      <c r="U59" s="60" t="s">
        <v>108</v>
      </c>
      <c r="V59" s="60" t="s">
        <v>94</v>
      </c>
      <c r="W59" s="60" t="s">
        <v>101</v>
      </c>
      <c r="X59" s="63" t="s">
        <v>102</v>
      </c>
    </row>
    <row r="60" spans="1:24">
      <c r="A60" s="60">
        <v>294</v>
      </c>
      <c r="B60" s="61" t="s">
        <v>771</v>
      </c>
      <c r="C60" s="62" t="s">
        <v>772</v>
      </c>
      <c r="D60" s="62" t="s">
        <v>773</v>
      </c>
      <c r="E60" s="60" t="s">
        <v>408</v>
      </c>
      <c r="F60" s="60" t="s">
        <v>87</v>
      </c>
      <c r="G60" s="60" t="s">
        <v>99</v>
      </c>
      <c r="H60" s="60" t="s">
        <v>707</v>
      </c>
      <c r="I60" s="60" t="s">
        <v>101</v>
      </c>
      <c r="J60" s="60" t="s">
        <v>2</v>
      </c>
      <c r="K60" s="60" t="s">
        <v>2</v>
      </c>
      <c r="L60" s="60" t="s">
        <v>87</v>
      </c>
      <c r="M60" s="60">
        <v>84</v>
      </c>
      <c r="N60" s="60" t="s">
        <v>87</v>
      </c>
      <c r="O60" s="60">
        <v>25</v>
      </c>
      <c r="P60" s="60" t="s">
        <v>1216</v>
      </c>
      <c r="Q60" s="60" t="s">
        <v>24</v>
      </c>
      <c r="R60" s="60" t="s">
        <v>21</v>
      </c>
      <c r="S60" s="60" t="s">
        <v>37</v>
      </c>
      <c r="T60" s="60" t="s">
        <v>94</v>
      </c>
      <c r="U60" s="60" t="s">
        <v>108</v>
      </c>
      <c r="V60" s="60" t="s">
        <v>92</v>
      </c>
      <c r="W60" s="60" t="s">
        <v>93</v>
      </c>
      <c r="X60" s="63" t="s">
        <v>102</v>
      </c>
    </row>
    <row r="61" spans="1:24">
      <c r="A61" s="60">
        <v>596</v>
      </c>
      <c r="B61" s="61" t="s">
        <v>1501</v>
      </c>
      <c r="C61" s="62" t="s">
        <v>1502</v>
      </c>
      <c r="D61" s="62" t="s">
        <v>774</v>
      </c>
      <c r="E61" s="60" t="s">
        <v>163</v>
      </c>
      <c r="F61" s="60" t="s">
        <v>170</v>
      </c>
      <c r="G61" s="60" t="s">
        <v>1503</v>
      </c>
      <c r="H61" s="60" t="s">
        <v>707</v>
      </c>
      <c r="I61" s="60" t="s">
        <v>90</v>
      </c>
      <c r="J61" s="60" t="s">
        <v>2</v>
      </c>
      <c r="K61" s="60" t="s">
        <v>2</v>
      </c>
      <c r="L61" s="60" t="s">
        <v>87</v>
      </c>
      <c r="M61" s="60">
        <v>100</v>
      </c>
      <c r="N61" s="60" t="s">
        <v>87</v>
      </c>
      <c r="O61" s="60">
        <v>2</v>
      </c>
      <c r="P61" s="60" t="s">
        <v>807</v>
      </c>
      <c r="Q61" s="60" t="s">
        <v>19</v>
      </c>
      <c r="R61" s="60" t="s">
        <v>20</v>
      </c>
      <c r="S61" s="60" t="s">
        <v>92</v>
      </c>
      <c r="T61" s="60" t="s">
        <v>94</v>
      </c>
      <c r="U61" s="60" t="s">
        <v>93</v>
      </c>
      <c r="V61" s="60" t="s">
        <v>94</v>
      </c>
      <c r="W61" s="60" t="s">
        <v>93</v>
      </c>
      <c r="X61" s="63" t="s">
        <v>95</v>
      </c>
    </row>
    <row r="62" spans="1:24">
      <c r="A62" s="60">
        <v>589</v>
      </c>
      <c r="B62" s="61" t="s">
        <v>160</v>
      </c>
      <c r="C62" s="62" t="s">
        <v>161</v>
      </c>
      <c r="D62" s="62" t="s">
        <v>162</v>
      </c>
      <c r="E62" s="60" t="s">
        <v>163</v>
      </c>
      <c r="F62" s="60" t="s">
        <v>87</v>
      </c>
      <c r="G62" s="60" t="s">
        <v>150</v>
      </c>
      <c r="H62" s="60" t="s">
        <v>100</v>
      </c>
      <c r="I62" s="60" t="s">
        <v>101</v>
      </c>
      <c r="J62" s="60" t="s">
        <v>2</v>
      </c>
      <c r="K62" s="60" t="s">
        <v>2</v>
      </c>
      <c r="L62" s="60">
        <v>115</v>
      </c>
      <c r="M62" s="60" t="s">
        <v>87</v>
      </c>
      <c r="N62" s="60">
        <v>6</v>
      </c>
      <c r="O62" s="60" t="s">
        <v>87</v>
      </c>
      <c r="P62" s="60">
        <v>6</v>
      </c>
      <c r="Q62" s="60" t="s">
        <v>22</v>
      </c>
      <c r="R62" s="60" t="s">
        <v>92</v>
      </c>
      <c r="S62" s="60" t="s">
        <v>92</v>
      </c>
      <c r="T62" s="60" t="s">
        <v>94</v>
      </c>
      <c r="U62" s="60" t="s">
        <v>108</v>
      </c>
      <c r="V62" s="60" t="s">
        <v>92</v>
      </c>
      <c r="W62" s="60" t="s">
        <v>93</v>
      </c>
      <c r="X62" s="63" t="s">
        <v>102</v>
      </c>
    </row>
    <row r="63" spans="1:24">
      <c r="A63" s="60">
        <v>1269</v>
      </c>
      <c r="B63" s="61" t="s">
        <v>1461</v>
      </c>
      <c r="C63" s="62" t="s">
        <v>1504</v>
      </c>
      <c r="D63" s="62" t="s">
        <v>162</v>
      </c>
      <c r="E63" s="60" t="s">
        <v>226</v>
      </c>
      <c r="F63" s="60" t="s">
        <v>170</v>
      </c>
      <c r="G63" s="60" t="s">
        <v>88</v>
      </c>
      <c r="H63" s="60" t="s">
        <v>100</v>
      </c>
      <c r="I63" s="60" t="s">
        <v>90</v>
      </c>
      <c r="J63" s="60" t="s">
        <v>2</v>
      </c>
      <c r="K63" s="60" t="s">
        <v>2</v>
      </c>
      <c r="L63" s="60">
        <v>200</v>
      </c>
      <c r="M63" s="60">
        <v>100</v>
      </c>
      <c r="N63" s="60">
        <v>2</v>
      </c>
      <c r="O63" s="60">
        <v>1</v>
      </c>
      <c r="P63" s="60" t="s">
        <v>172</v>
      </c>
      <c r="Q63" s="60" t="s">
        <v>92</v>
      </c>
      <c r="R63" s="60" t="s">
        <v>20</v>
      </c>
      <c r="S63" s="60" t="s">
        <v>92</v>
      </c>
      <c r="T63" s="60" t="s">
        <v>94</v>
      </c>
      <c r="U63" s="60" t="s">
        <v>108</v>
      </c>
      <c r="V63" s="60" t="s">
        <v>92</v>
      </c>
      <c r="W63" s="60" t="s">
        <v>90</v>
      </c>
      <c r="X63" s="63" t="s">
        <v>95</v>
      </c>
    </row>
    <row r="64" spans="1:24">
      <c r="A64" s="60">
        <v>778</v>
      </c>
      <c r="B64" s="61" t="s">
        <v>1505</v>
      </c>
      <c r="C64" s="62" t="s">
        <v>1506</v>
      </c>
      <c r="D64" s="62" t="s">
        <v>168</v>
      </c>
      <c r="E64" s="60" t="s">
        <v>127</v>
      </c>
      <c r="F64" s="60" t="s">
        <v>87</v>
      </c>
      <c r="G64" s="60" t="s">
        <v>158</v>
      </c>
      <c r="H64" s="60" t="s">
        <v>89</v>
      </c>
      <c r="I64" s="60" t="s">
        <v>90</v>
      </c>
      <c r="J64" s="60" t="s">
        <v>2</v>
      </c>
      <c r="K64" s="60" t="s">
        <v>2</v>
      </c>
      <c r="L64" s="60">
        <v>19</v>
      </c>
      <c r="M64" s="60">
        <v>58</v>
      </c>
      <c r="N64" s="60">
        <v>9</v>
      </c>
      <c r="O64" s="60" t="s">
        <v>322</v>
      </c>
      <c r="P64" s="60" t="s">
        <v>1507</v>
      </c>
      <c r="Q64" s="60" t="s">
        <v>19</v>
      </c>
      <c r="R64" s="60" t="s">
        <v>20</v>
      </c>
      <c r="S64" s="60" t="s">
        <v>92</v>
      </c>
      <c r="T64" s="60" t="s">
        <v>94</v>
      </c>
      <c r="U64" s="60" t="s">
        <v>101</v>
      </c>
      <c r="V64" s="60" t="s">
        <v>92</v>
      </c>
      <c r="W64" s="60" t="s">
        <v>93</v>
      </c>
      <c r="X64" s="63" t="s">
        <v>95</v>
      </c>
    </row>
    <row r="65" spans="1:24">
      <c r="A65" s="60">
        <v>687</v>
      </c>
      <c r="B65" s="61" t="s">
        <v>1508</v>
      </c>
      <c r="C65" s="62" t="s">
        <v>1509</v>
      </c>
      <c r="D65" s="62" t="s">
        <v>299</v>
      </c>
      <c r="E65" s="60" t="s">
        <v>42</v>
      </c>
      <c r="F65" s="60" t="s">
        <v>87</v>
      </c>
      <c r="G65" s="60" t="s">
        <v>150</v>
      </c>
      <c r="H65" s="60" t="s">
        <v>707</v>
      </c>
      <c r="I65" s="60" t="s">
        <v>90</v>
      </c>
      <c r="J65" s="60" t="s">
        <v>2</v>
      </c>
      <c r="K65" s="60" t="s">
        <v>2</v>
      </c>
      <c r="L65" s="60" t="s">
        <v>87</v>
      </c>
      <c r="M65" s="60">
        <v>56</v>
      </c>
      <c r="N65" s="60" t="s">
        <v>87</v>
      </c>
      <c r="O65" s="60">
        <v>16</v>
      </c>
      <c r="P65" s="60" t="s">
        <v>726</v>
      </c>
      <c r="Q65" s="60" t="s">
        <v>22</v>
      </c>
      <c r="R65" s="60" t="s">
        <v>92</v>
      </c>
      <c r="S65" s="60" t="s">
        <v>37</v>
      </c>
      <c r="T65" s="60" t="s">
        <v>94</v>
      </c>
      <c r="U65" s="60" t="s">
        <v>108</v>
      </c>
      <c r="V65" s="60" t="s">
        <v>92</v>
      </c>
      <c r="W65" s="60" t="s">
        <v>108</v>
      </c>
      <c r="X65" s="63" t="s">
        <v>95</v>
      </c>
    </row>
    <row r="66" spans="1:24">
      <c r="A66" s="60">
        <v>1258</v>
      </c>
      <c r="B66" s="61" t="s">
        <v>775</v>
      </c>
      <c r="C66" s="62" t="s">
        <v>776</v>
      </c>
      <c r="D66" s="62" t="s">
        <v>777</v>
      </c>
      <c r="E66" s="60" t="s">
        <v>328</v>
      </c>
      <c r="F66" s="60" t="s">
        <v>87</v>
      </c>
      <c r="G66" s="60" t="s">
        <v>142</v>
      </c>
      <c r="H66" s="60" t="s">
        <v>707</v>
      </c>
      <c r="I66" s="60" t="s">
        <v>101</v>
      </c>
      <c r="J66" s="60" t="s">
        <v>3</v>
      </c>
      <c r="K66" s="60" t="s">
        <v>3</v>
      </c>
      <c r="L66" s="60" t="s">
        <v>87</v>
      </c>
      <c r="M66" s="60">
        <v>5</v>
      </c>
      <c r="N66" s="60" t="s">
        <v>87</v>
      </c>
      <c r="O66" s="60">
        <v>8</v>
      </c>
      <c r="P66" s="60" t="s">
        <v>714</v>
      </c>
      <c r="Q66" s="60" t="s">
        <v>19</v>
      </c>
      <c r="R66" s="60" t="s">
        <v>20</v>
      </c>
      <c r="S66" s="60" t="s">
        <v>92</v>
      </c>
      <c r="T66" s="60" t="s">
        <v>92</v>
      </c>
      <c r="U66" s="60" t="s">
        <v>101</v>
      </c>
      <c r="V66" s="60" t="s">
        <v>92</v>
      </c>
      <c r="W66" s="60" t="s">
        <v>93</v>
      </c>
      <c r="X66" s="63" t="s">
        <v>102</v>
      </c>
    </row>
    <row r="67" spans="1:24">
      <c r="A67" s="60">
        <v>1323</v>
      </c>
      <c r="B67" s="61" t="s">
        <v>1294</v>
      </c>
      <c r="C67" s="62" t="s">
        <v>1295</v>
      </c>
      <c r="D67" s="62" t="s">
        <v>116</v>
      </c>
      <c r="E67" s="60" t="s">
        <v>190</v>
      </c>
      <c r="F67" s="60" t="s">
        <v>170</v>
      </c>
      <c r="G67" s="60" t="s">
        <v>99</v>
      </c>
      <c r="H67" s="60" t="s">
        <v>707</v>
      </c>
      <c r="I67" s="60" t="s">
        <v>90</v>
      </c>
      <c r="J67" s="60" t="s">
        <v>2</v>
      </c>
      <c r="K67" s="60" t="s">
        <v>2</v>
      </c>
      <c r="L67" s="60" t="s">
        <v>87</v>
      </c>
      <c r="M67" s="60">
        <v>100</v>
      </c>
      <c r="N67" s="60" t="s">
        <v>87</v>
      </c>
      <c r="O67" s="60">
        <v>2</v>
      </c>
      <c r="P67" s="60" t="s">
        <v>807</v>
      </c>
      <c r="Q67" s="60" t="s">
        <v>19</v>
      </c>
      <c r="R67" s="60" t="s">
        <v>92</v>
      </c>
      <c r="S67" s="60" t="s">
        <v>92</v>
      </c>
      <c r="T67" s="60" t="s">
        <v>92</v>
      </c>
      <c r="U67" s="60" t="s">
        <v>108</v>
      </c>
      <c r="V67" s="60" t="s">
        <v>92</v>
      </c>
      <c r="W67" s="60" t="s">
        <v>93</v>
      </c>
      <c r="X67" s="63" t="s">
        <v>95</v>
      </c>
    </row>
    <row r="68" spans="1:24">
      <c r="A68" s="60">
        <v>620</v>
      </c>
      <c r="B68" s="61" t="s">
        <v>1296</v>
      </c>
      <c r="C68" s="62" t="s">
        <v>1297</v>
      </c>
      <c r="D68" s="62" t="s">
        <v>443</v>
      </c>
      <c r="E68" s="60" t="s">
        <v>154</v>
      </c>
      <c r="F68" s="60" t="s">
        <v>87</v>
      </c>
      <c r="G68" s="60" t="s">
        <v>99</v>
      </c>
      <c r="H68" s="60" t="s">
        <v>100</v>
      </c>
      <c r="I68" s="60" t="s">
        <v>90</v>
      </c>
      <c r="J68" s="60" t="s">
        <v>2</v>
      </c>
      <c r="K68" s="60" t="s">
        <v>2</v>
      </c>
      <c r="L68" s="60">
        <v>110</v>
      </c>
      <c r="M68" s="60" t="s">
        <v>87</v>
      </c>
      <c r="N68" s="60">
        <v>9</v>
      </c>
      <c r="O68" s="60" t="s">
        <v>87</v>
      </c>
      <c r="P68" s="60">
        <v>9</v>
      </c>
      <c r="Q68" s="60" t="s">
        <v>22</v>
      </c>
      <c r="R68" s="60" t="s">
        <v>92</v>
      </c>
      <c r="S68" s="60" t="s">
        <v>92</v>
      </c>
      <c r="T68" s="60" t="s">
        <v>92</v>
      </c>
      <c r="U68" s="60" t="s">
        <v>108</v>
      </c>
      <c r="V68" s="60" t="s">
        <v>92</v>
      </c>
      <c r="W68" s="60" t="s">
        <v>90</v>
      </c>
      <c r="X68" s="63" t="s">
        <v>95</v>
      </c>
    </row>
    <row r="69" spans="1:24">
      <c r="A69" s="60">
        <v>383</v>
      </c>
      <c r="B69" s="61" t="s">
        <v>780</v>
      </c>
      <c r="C69" s="62" t="s">
        <v>781</v>
      </c>
      <c r="D69" s="62" t="s">
        <v>367</v>
      </c>
      <c r="E69" s="60" t="s">
        <v>123</v>
      </c>
      <c r="F69" s="60" t="s">
        <v>87</v>
      </c>
      <c r="G69" s="60" t="s">
        <v>99</v>
      </c>
      <c r="H69" s="60" t="s">
        <v>707</v>
      </c>
      <c r="I69" s="60" t="s">
        <v>90</v>
      </c>
      <c r="J69" s="60" t="s">
        <v>2</v>
      </c>
      <c r="K69" s="60" t="s">
        <v>2</v>
      </c>
      <c r="L69" s="60" t="s">
        <v>87</v>
      </c>
      <c r="M69" s="60">
        <v>63</v>
      </c>
      <c r="N69" s="60" t="s">
        <v>87</v>
      </c>
      <c r="O69" s="60">
        <v>13</v>
      </c>
      <c r="P69" s="60" t="s">
        <v>718</v>
      </c>
      <c r="Q69" s="60" t="s">
        <v>24</v>
      </c>
      <c r="R69" s="60" t="s">
        <v>21</v>
      </c>
      <c r="S69" s="60" t="s">
        <v>3</v>
      </c>
      <c r="T69" s="60" t="s">
        <v>92</v>
      </c>
      <c r="U69" s="60" t="s">
        <v>108</v>
      </c>
      <c r="V69" s="60" t="s">
        <v>92</v>
      </c>
      <c r="W69" s="60" t="s">
        <v>90</v>
      </c>
      <c r="X69" s="63" t="s">
        <v>95</v>
      </c>
    </row>
    <row r="70" spans="1:24">
      <c r="A70" s="60">
        <v>140</v>
      </c>
      <c r="B70" s="61" t="s">
        <v>1510</v>
      </c>
      <c r="C70" s="62" t="s">
        <v>1511</v>
      </c>
      <c r="D70" s="62" t="s">
        <v>201</v>
      </c>
      <c r="E70" s="60" t="s">
        <v>127</v>
      </c>
      <c r="F70" s="60" t="s">
        <v>170</v>
      </c>
      <c r="G70" s="60" t="s">
        <v>112</v>
      </c>
      <c r="H70" s="60" t="s">
        <v>100</v>
      </c>
      <c r="I70" s="60" t="s">
        <v>90</v>
      </c>
      <c r="J70" s="60" t="s">
        <v>3</v>
      </c>
      <c r="K70" s="60" t="s">
        <v>3</v>
      </c>
      <c r="L70" s="60">
        <v>200</v>
      </c>
      <c r="M70" s="60">
        <v>100</v>
      </c>
      <c r="N70" s="60">
        <v>1</v>
      </c>
      <c r="O70" s="60">
        <v>1</v>
      </c>
      <c r="P70" s="60" t="s">
        <v>255</v>
      </c>
      <c r="Q70" s="60" t="s">
        <v>92</v>
      </c>
      <c r="R70" s="60" t="s">
        <v>92</v>
      </c>
      <c r="S70" s="60" t="s">
        <v>38</v>
      </c>
      <c r="T70" s="60" t="s">
        <v>94</v>
      </c>
      <c r="U70" s="60" t="s">
        <v>108</v>
      </c>
      <c r="V70" s="60" t="s">
        <v>92</v>
      </c>
      <c r="W70" s="60" t="s">
        <v>108</v>
      </c>
      <c r="X70" s="63" t="s">
        <v>95</v>
      </c>
    </row>
    <row r="71" spans="1:24">
      <c r="A71" s="60">
        <v>264</v>
      </c>
      <c r="B71" s="61" t="s">
        <v>1298</v>
      </c>
      <c r="C71" s="62" t="s">
        <v>1299</v>
      </c>
      <c r="D71" s="62" t="s">
        <v>1300</v>
      </c>
      <c r="E71" s="60" t="s">
        <v>98</v>
      </c>
      <c r="F71" s="60" t="s">
        <v>87</v>
      </c>
      <c r="G71" s="60" t="s">
        <v>155</v>
      </c>
      <c r="H71" s="60" t="s">
        <v>707</v>
      </c>
      <c r="I71" s="60" t="s">
        <v>90</v>
      </c>
      <c r="J71" s="60" t="s">
        <v>2</v>
      </c>
      <c r="K71" s="60" t="s">
        <v>2</v>
      </c>
      <c r="L71" s="60" t="s">
        <v>87</v>
      </c>
      <c r="M71" s="60">
        <v>65</v>
      </c>
      <c r="N71" s="60" t="s">
        <v>87</v>
      </c>
      <c r="O71" s="60">
        <v>15</v>
      </c>
      <c r="P71" s="60" t="s">
        <v>836</v>
      </c>
      <c r="Q71" s="60" t="s">
        <v>92</v>
      </c>
      <c r="R71" s="60" t="s">
        <v>20</v>
      </c>
      <c r="S71" s="60" t="s">
        <v>37</v>
      </c>
      <c r="T71" s="60" t="s">
        <v>94</v>
      </c>
      <c r="U71" s="60" t="s">
        <v>108</v>
      </c>
      <c r="V71" s="60" t="s">
        <v>94</v>
      </c>
      <c r="W71" s="60" t="s">
        <v>90</v>
      </c>
      <c r="X71" s="63" t="s">
        <v>95</v>
      </c>
    </row>
    <row r="72" spans="1:24">
      <c r="A72" s="60">
        <v>25</v>
      </c>
      <c r="B72" s="61" t="s">
        <v>783</v>
      </c>
      <c r="C72" s="62" t="s">
        <v>784</v>
      </c>
      <c r="D72" s="62" t="s">
        <v>367</v>
      </c>
      <c r="E72" s="60" t="s">
        <v>178</v>
      </c>
      <c r="F72" s="60" t="s">
        <v>87</v>
      </c>
      <c r="G72" s="60" t="s">
        <v>182</v>
      </c>
      <c r="H72" s="60" t="s">
        <v>707</v>
      </c>
      <c r="I72" s="60" t="s">
        <v>90</v>
      </c>
      <c r="J72" s="60" t="s">
        <v>2</v>
      </c>
      <c r="K72" s="60" t="s">
        <v>2</v>
      </c>
      <c r="L72" s="60" t="s">
        <v>87</v>
      </c>
      <c r="M72" s="60">
        <v>80</v>
      </c>
      <c r="N72" s="60" t="s">
        <v>87</v>
      </c>
      <c r="O72" s="60">
        <v>17</v>
      </c>
      <c r="P72" s="60" t="s">
        <v>748</v>
      </c>
      <c r="Q72" s="60" t="s">
        <v>24</v>
      </c>
      <c r="R72" s="60" t="s">
        <v>21</v>
      </c>
      <c r="S72" s="60" t="s">
        <v>92</v>
      </c>
      <c r="T72" s="60" t="s">
        <v>94</v>
      </c>
      <c r="U72" s="60" t="s">
        <v>90</v>
      </c>
      <c r="V72" s="60" t="s">
        <v>94</v>
      </c>
      <c r="W72" s="60" t="s">
        <v>93</v>
      </c>
      <c r="X72" s="63" t="s">
        <v>95</v>
      </c>
    </row>
    <row r="73" spans="1:24">
      <c r="A73" s="60">
        <v>1131</v>
      </c>
      <c r="B73" s="61" t="s">
        <v>1512</v>
      </c>
      <c r="C73" s="62" t="s">
        <v>1513</v>
      </c>
      <c r="D73" s="62" t="s">
        <v>1514</v>
      </c>
      <c r="E73" s="60" t="s">
        <v>197</v>
      </c>
      <c r="F73" s="60" t="s">
        <v>87</v>
      </c>
      <c r="G73" s="60" t="s">
        <v>147</v>
      </c>
      <c r="H73" s="60" t="s">
        <v>707</v>
      </c>
      <c r="I73" s="60" t="s">
        <v>90</v>
      </c>
      <c r="J73" s="60" t="s">
        <v>2</v>
      </c>
      <c r="K73" s="60" t="s">
        <v>2</v>
      </c>
      <c r="L73" s="60" t="s">
        <v>87</v>
      </c>
      <c r="M73" s="60">
        <v>13</v>
      </c>
      <c r="N73" s="60" t="s">
        <v>87</v>
      </c>
      <c r="O73" s="60">
        <v>12</v>
      </c>
      <c r="P73" s="60" t="s">
        <v>782</v>
      </c>
      <c r="Q73" s="60" t="s">
        <v>24</v>
      </c>
      <c r="R73" s="60" t="s">
        <v>92</v>
      </c>
      <c r="S73" s="60" t="s">
        <v>3</v>
      </c>
      <c r="T73" s="60" t="s">
        <v>94</v>
      </c>
      <c r="U73" s="60" t="s">
        <v>108</v>
      </c>
      <c r="V73" s="60" t="s">
        <v>92</v>
      </c>
      <c r="W73" s="60" t="s">
        <v>90</v>
      </c>
      <c r="X73" s="63" t="s">
        <v>95</v>
      </c>
    </row>
    <row r="74" spans="1:24">
      <c r="A74" s="60">
        <v>471</v>
      </c>
      <c r="B74" s="61" t="s">
        <v>1515</v>
      </c>
      <c r="C74" s="62" t="s">
        <v>1516</v>
      </c>
      <c r="D74" s="62" t="s">
        <v>1517</v>
      </c>
      <c r="E74" s="60" t="s">
        <v>197</v>
      </c>
      <c r="F74" s="60" t="s">
        <v>87</v>
      </c>
      <c r="G74" s="60" t="s">
        <v>147</v>
      </c>
      <c r="H74" s="60" t="s">
        <v>100</v>
      </c>
      <c r="I74" s="60" t="s">
        <v>101</v>
      </c>
      <c r="J74" s="60" t="s">
        <v>2</v>
      </c>
      <c r="K74" s="60" t="s">
        <v>2</v>
      </c>
      <c r="L74" s="60">
        <v>36</v>
      </c>
      <c r="M74" s="60" t="s">
        <v>87</v>
      </c>
      <c r="N74" s="60">
        <v>4</v>
      </c>
      <c r="O74" s="60" t="s">
        <v>87</v>
      </c>
      <c r="P74" s="60">
        <v>4</v>
      </c>
      <c r="Q74" s="60" t="s">
        <v>92</v>
      </c>
      <c r="R74" s="60" t="s">
        <v>21</v>
      </c>
      <c r="S74" s="60" t="s">
        <v>92</v>
      </c>
      <c r="T74" s="60" t="s">
        <v>94</v>
      </c>
      <c r="U74" s="60" t="s">
        <v>93</v>
      </c>
      <c r="V74" s="60" t="s">
        <v>92</v>
      </c>
      <c r="W74" s="60" t="s">
        <v>93</v>
      </c>
      <c r="X74" s="63" t="s">
        <v>102</v>
      </c>
    </row>
    <row r="75" spans="1:24">
      <c r="A75" s="60">
        <v>58</v>
      </c>
      <c r="B75" s="61" t="s">
        <v>785</v>
      </c>
      <c r="C75" s="62" t="s">
        <v>786</v>
      </c>
      <c r="D75" s="62" t="s">
        <v>787</v>
      </c>
      <c r="E75" s="60" t="s">
        <v>86</v>
      </c>
      <c r="F75" s="60" t="s">
        <v>87</v>
      </c>
      <c r="G75" s="60" t="s">
        <v>158</v>
      </c>
      <c r="H75" s="60" t="s">
        <v>89</v>
      </c>
      <c r="I75" s="60" t="s">
        <v>90</v>
      </c>
      <c r="J75" s="60" t="s">
        <v>3</v>
      </c>
      <c r="K75" s="60" t="s">
        <v>3</v>
      </c>
      <c r="L75" s="60">
        <v>10</v>
      </c>
      <c r="M75" s="60">
        <v>56</v>
      </c>
      <c r="N75" s="60">
        <v>4</v>
      </c>
      <c r="O75" s="60" t="s">
        <v>633</v>
      </c>
      <c r="P75" s="60" t="s">
        <v>634</v>
      </c>
      <c r="Q75" s="60" t="s">
        <v>92</v>
      </c>
      <c r="R75" s="60" t="s">
        <v>92</v>
      </c>
      <c r="S75" s="60" t="s">
        <v>3</v>
      </c>
      <c r="T75" s="60" t="s">
        <v>94</v>
      </c>
      <c r="U75" s="60" t="s">
        <v>101</v>
      </c>
      <c r="V75" s="60" t="s">
        <v>92</v>
      </c>
      <c r="W75" s="60" t="s">
        <v>108</v>
      </c>
      <c r="X75" s="63" t="s">
        <v>95</v>
      </c>
    </row>
    <row r="76" spans="1:24">
      <c r="A76" s="60">
        <v>1139</v>
      </c>
      <c r="B76" s="61" t="s">
        <v>1518</v>
      </c>
      <c r="C76" s="62" t="s">
        <v>1519</v>
      </c>
      <c r="D76" s="62" t="s">
        <v>126</v>
      </c>
      <c r="E76" s="60" t="s">
        <v>149</v>
      </c>
      <c r="F76" s="60" t="s">
        <v>170</v>
      </c>
      <c r="G76" s="60" t="s">
        <v>99</v>
      </c>
      <c r="H76" s="60" t="s">
        <v>707</v>
      </c>
      <c r="I76" s="60" t="s">
        <v>90</v>
      </c>
      <c r="J76" s="60" t="s">
        <v>2</v>
      </c>
      <c r="K76" s="60" t="s">
        <v>2</v>
      </c>
      <c r="L76" s="60" t="s">
        <v>87</v>
      </c>
      <c r="M76" s="60">
        <v>100</v>
      </c>
      <c r="N76" s="60" t="s">
        <v>87</v>
      </c>
      <c r="O76" s="60">
        <v>1</v>
      </c>
      <c r="P76" s="60" t="s">
        <v>729</v>
      </c>
      <c r="Q76" s="60" t="s">
        <v>92</v>
      </c>
      <c r="R76" s="60" t="s">
        <v>92</v>
      </c>
      <c r="S76" s="60" t="s">
        <v>37</v>
      </c>
      <c r="T76" s="60" t="s">
        <v>94</v>
      </c>
      <c r="U76" s="60" t="s">
        <v>108</v>
      </c>
      <c r="V76" s="60" t="s">
        <v>92</v>
      </c>
      <c r="W76" s="60" t="s">
        <v>93</v>
      </c>
      <c r="X76" s="63" t="s">
        <v>95</v>
      </c>
    </row>
    <row r="77" spans="1:24">
      <c r="A77" s="60">
        <v>24</v>
      </c>
      <c r="B77" s="61" t="s">
        <v>175</v>
      </c>
      <c r="C77" s="62" t="s">
        <v>176</v>
      </c>
      <c r="D77" s="62" t="s">
        <v>177</v>
      </c>
      <c r="E77" s="60" t="s">
        <v>178</v>
      </c>
      <c r="F77" s="60" t="s">
        <v>87</v>
      </c>
      <c r="G77" s="60" t="s">
        <v>99</v>
      </c>
      <c r="H77" s="60" t="s">
        <v>707</v>
      </c>
      <c r="I77" s="60" t="s">
        <v>101</v>
      </c>
      <c r="J77" s="60" t="s">
        <v>3</v>
      </c>
      <c r="K77" s="60" t="s">
        <v>3</v>
      </c>
      <c r="L77" s="60" t="s">
        <v>87</v>
      </c>
      <c r="M77" s="60">
        <v>66</v>
      </c>
      <c r="N77" s="60" t="s">
        <v>87</v>
      </c>
      <c r="O77" s="60">
        <v>18</v>
      </c>
      <c r="P77" s="60" t="s">
        <v>758</v>
      </c>
      <c r="Q77" s="60" t="s">
        <v>24</v>
      </c>
      <c r="R77" s="60" t="s">
        <v>20</v>
      </c>
      <c r="S77" s="60" t="s">
        <v>23</v>
      </c>
      <c r="T77" s="60" t="s">
        <v>94</v>
      </c>
      <c r="U77" s="60" t="s">
        <v>108</v>
      </c>
      <c r="V77" s="60" t="s">
        <v>92</v>
      </c>
      <c r="W77" s="60" t="s">
        <v>108</v>
      </c>
      <c r="X77" s="63" t="s">
        <v>102</v>
      </c>
    </row>
    <row r="78" spans="1:24">
      <c r="A78" s="60">
        <v>1332</v>
      </c>
      <c r="B78" s="61" t="s">
        <v>1520</v>
      </c>
      <c r="C78" s="62" t="s">
        <v>1521</v>
      </c>
      <c r="D78" s="62" t="s">
        <v>299</v>
      </c>
      <c r="E78" s="60" t="s">
        <v>190</v>
      </c>
      <c r="F78" s="60" t="s">
        <v>87</v>
      </c>
      <c r="G78" s="60" t="s">
        <v>164</v>
      </c>
      <c r="H78" s="60" t="s">
        <v>707</v>
      </c>
      <c r="I78" s="60" t="s">
        <v>101</v>
      </c>
      <c r="J78" s="60" t="s">
        <v>2</v>
      </c>
      <c r="K78" s="60" t="s">
        <v>2</v>
      </c>
      <c r="L78" s="60" t="s">
        <v>87</v>
      </c>
      <c r="M78" s="60">
        <v>18</v>
      </c>
      <c r="N78" s="60" t="s">
        <v>87</v>
      </c>
      <c r="O78" s="60">
        <v>4</v>
      </c>
      <c r="P78" s="60" t="s">
        <v>754</v>
      </c>
      <c r="Q78" s="60" t="s">
        <v>92</v>
      </c>
      <c r="R78" s="60" t="s">
        <v>92</v>
      </c>
      <c r="S78" s="60" t="s">
        <v>37</v>
      </c>
      <c r="T78" s="60" t="s">
        <v>92</v>
      </c>
      <c r="U78" s="60" t="s">
        <v>93</v>
      </c>
      <c r="V78" s="60" t="s">
        <v>92</v>
      </c>
      <c r="W78" s="60" t="s">
        <v>108</v>
      </c>
      <c r="X78" s="63" t="s">
        <v>102</v>
      </c>
    </row>
    <row r="79" spans="1:24">
      <c r="A79" s="60">
        <v>322</v>
      </c>
      <c r="B79" s="61" t="s">
        <v>1301</v>
      </c>
      <c r="C79" s="62" t="s">
        <v>1302</v>
      </c>
      <c r="D79" s="62" t="s">
        <v>375</v>
      </c>
      <c r="E79" s="60" t="s">
        <v>127</v>
      </c>
      <c r="F79" s="60" t="s">
        <v>170</v>
      </c>
      <c r="G79" s="60" t="s">
        <v>117</v>
      </c>
      <c r="H79" s="60" t="s">
        <v>100</v>
      </c>
      <c r="I79" s="60" t="s">
        <v>101</v>
      </c>
      <c r="J79" s="60" t="s">
        <v>2</v>
      </c>
      <c r="K79" s="60" t="s">
        <v>2</v>
      </c>
      <c r="L79" s="60">
        <v>200</v>
      </c>
      <c r="M79" s="60">
        <v>100</v>
      </c>
      <c r="N79" s="60">
        <v>2</v>
      </c>
      <c r="O79" s="60">
        <v>1</v>
      </c>
      <c r="P79" s="60" t="s">
        <v>172</v>
      </c>
      <c r="Q79" s="60" t="s">
        <v>92</v>
      </c>
      <c r="R79" s="60" t="s">
        <v>20</v>
      </c>
      <c r="S79" s="60" t="s">
        <v>3</v>
      </c>
      <c r="T79" s="60" t="s">
        <v>94</v>
      </c>
      <c r="U79" s="60" t="s">
        <v>93</v>
      </c>
      <c r="V79" s="60" t="s">
        <v>92</v>
      </c>
      <c r="W79" s="60" t="s">
        <v>90</v>
      </c>
      <c r="X79" s="63" t="s">
        <v>102</v>
      </c>
    </row>
    <row r="80" spans="1:24">
      <c r="A80" s="60">
        <v>1189</v>
      </c>
      <c r="B80" s="61" t="s">
        <v>789</v>
      </c>
      <c r="C80" s="62" t="s">
        <v>790</v>
      </c>
      <c r="D80" s="62" t="s">
        <v>791</v>
      </c>
      <c r="E80" s="60" t="s">
        <v>163</v>
      </c>
      <c r="F80" s="60" t="s">
        <v>87</v>
      </c>
      <c r="G80" s="60" t="s">
        <v>99</v>
      </c>
      <c r="H80" s="60" t="s">
        <v>707</v>
      </c>
      <c r="I80" s="60" t="s">
        <v>90</v>
      </c>
      <c r="J80" s="60" t="s">
        <v>3</v>
      </c>
      <c r="K80" s="60" t="s">
        <v>3</v>
      </c>
      <c r="L80" s="60" t="s">
        <v>87</v>
      </c>
      <c r="M80" s="60">
        <v>11</v>
      </c>
      <c r="N80" s="60" t="s">
        <v>87</v>
      </c>
      <c r="O80" s="60">
        <v>14</v>
      </c>
      <c r="P80" s="60" t="s">
        <v>794</v>
      </c>
      <c r="Q80" s="60" t="s">
        <v>92</v>
      </c>
      <c r="R80" s="60" t="s">
        <v>21</v>
      </c>
      <c r="S80" s="60" t="s">
        <v>23</v>
      </c>
      <c r="T80" s="60" t="s">
        <v>94</v>
      </c>
      <c r="U80" s="60" t="s">
        <v>108</v>
      </c>
      <c r="V80" s="60" t="s">
        <v>94</v>
      </c>
      <c r="W80" s="60" t="s">
        <v>90</v>
      </c>
      <c r="X80" s="63" t="s">
        <v>95</v>
      </c>
    </row>
    <row r="81" spans="1:24">
      <c r="A81" s="60">
        <v>598</v>
      </c>
      <c r="B81" s="61" t="s">
        <v>1303</v>
      </c>
      <c r="C81" s="62" t="s">
        <v>1304</v>
      </c>
      <c r="D81" s="62" t="s">
        <v>1061</v>
      </c>
      <c r="E81" s="60" t="s">
        <v>163</v>
      </c>
      <c r="F81" s="60" t="s">
        <v>87</v>
      </c>
      <c r="G81" s="60" t="s">
        <v>88</v>
      </c>
      <c r="H81" s="60" t="s">
        <v>707</v>
      </c>
      <c r="I81" s="60" t="s">
        <v>101</v>
      </c>
      <c r="J81" s="60" t="s">
        <v>3</v>
      </c>
      <c r="K81" s="60" t="s">
        <v>2</v>
      </c>
      <c r="L81" s="60" t="s">
        <v>87</v>
      </c>
      <c r="M81" s="60">
        <v>33</v>
      </c>
      <c r="N81" s="60" t="s">
        <v>87</v>
      </c>
      <c r="O81" s="60">
        <v>5</v>
      </c>
      <c r="P81" s="60" t="s">
        <v>708</v>
      </c>
      <c r="Q81" s="60" t="s">
        <v>92</v>
      </c>
      <c r="R81" s="60" t="s">
        <v>21</v>
      </c>
      <c r="S81" s="60" t="s">
        <v>37</v>
      </c>
      <c r="T81" s="60" t="s">
        <v>94</v>
      </c>
      <c r="U81" s="60" t="s">
        <v>108</v>
      </c>
      <c r="V81" s="60" t="s">
        <v>92</v>
      </c>
      <c r="W81" s="60" t="s">
        <v>93</v>
      </c>
      <c r="X81" s="63" t="s">
        <v>102</v>
      </c>
    </row>
    <row r="82" spans="1:24">
      <c r="A82" s="60">
        <v>806</v>
      </c>
      <c r="B82" s="61" t="s">
        <v>792</v>
      </c>
      <c r="C82" s="62" t="s">
        <v>793</v>
      </c>
      <c r="D82" s="62" t="s">
        <v>566</v>
      </c>
      <c r="E82" s="60" t="s">
        <v>127</v>
      </c>
      <c r="F82" s="60" t="s">
        <v>87</v>
      </c>
      <c r="G82" s="60" t="s">
        <v>142</v>
      </c>
      <c r="H82" s="60" t="s">
        <v>707</v>
      </c>
      <c r="I82" s="60" t="s">
        <v>90</v>
      </c>
      <c r="J82" s="60" t="s">
        <v>2</v>
      </c>
      <c r="K82" s="60" t="s">
        <v>2</v>
      </c>
      <c r="L82" s="60" t="s">
        <v>87</v>
      </c>
      <c r="M82" s="60">
        <v>61</v>
      </c>
      <c r="N82" s="60" t="s">
        <v>87</v>
      </c>
      <c r="O82" s="60">
        <v>4</v>
      </c>
      <c r="P82" s="60" t="s">
        <v>754</v>
      </c>
      <c r="Q82" s="60" t="s">
        <v>19</v>
      </c>
      <c r="R82" s="60" t="s">
        <v>92</v>
      </c>
      <c r="S82" s="60" t="s">
        <v>92</v>
      </c>
      <c r="T82" s="60" t="s">
        <v>94</v>
      </c>
      <c r="U82" s="60" t="s">
        <v>93</v>
      </c>
      <c r="V82" s="60" t="s">
        <v>94</v>
      </c>
      <c r="W82" s="60" t="s">
        <v>90</v>
      </c>
      <c r="X82" s="63" t="s">
        <v>95</v>
      </c>
    </row>
    <row r="83" spans="1:24">
      <c r="A83" s="60">
        <v>738</v>
      </c>
      <c r="B83" s="61" t="s">
        <v>1235</v>
      </c>
      <c r="C83" s="62" t="s">
        <v>1236</v>
      </c>
      <c r="D83" s="62" t="s">
        <v>358</v>
      </c>
      <c r="E83" s="60" t="s">
        <v>226</v>
      </c>
      <c r="F83" s="60" t="s">
        <v>170</v>
      </c>
      <c r="G83" s="60" t="s">
        <v>150</v>
      </c>
      <c r="H83" s="60" t="s">
        <v>100</v>
      </c>
      <c r="I83" s="60" t="s">
        <v>90</v>
      </c>
      <c r="J83" s="60" t="s">
        <v>2</v>
      </c>
      <c r="K83" s="60" t="s">
        <v>2</v>
      </c>
      <c r="L83" s="60">
        <v>200</v>
      </c>
      <c r="M83" s="60">
        <v>100</v>
      </c>
      <c r="N83" s="60">
        <v>1</v>
      </c>
      <c r="O83" s="60">
        <v>1</v>
      </c>
      <c r="P83" s="60" t="s">
        <v>255</v>
      </c>
      <c r="Q83" s="60" t="s">
        <v>92</v>
      </c>
      <c r="R83" s="60" t="s">
        <v>92</v>
      </c>
      <c r="S83" s="60" t="s">
        <v>3</v>
      </c>
      <c r="T83" s="60" t="s">
        <v>94</v>
      </c>
      <c r="U83" s="60" t="s">
        <v>101</v>
      </c>
      <c r="V83" s="60" t="s">
        <v>92</v>
      </c>
      <c r="W83" s="60" t="s">
        <v>90</v>
      </c>
      <c r="X83" s="63" t="s">
        <v>95</v>
      </c>
    </row>
    <row r="84" spans="1:24">
      <c r="A84" s="60">
        <v>966</v>
      </c>
      <c r="B84" s="61" t="s">
        <v>1305</v>
      </c>
      <c r="C84" s="62" t="s">
        <v>1236</v>
      </c>
      <c r="D84" s="62" t="s">
        <v>126</v>
      </c>
      <c r="E84" s="60" t="s">
        <v>157</v>
      </c>
      <c r="F84" s="60" t="s">
        <v>87</v>
      </c>
      <c r="G84" s="60" t="s">
        <v>117</v>
      </c>
      <c r="H84" s="60" t="s">
        <v>707</v>
      </c>
      <c r="I84" s="60" t="s">
        <v>90</v>
      </c>
      <c r="J84" s="60" t="s">
        <v>2</v>
      </c>
      <c r="K84" s="60" t="s">
        <v>2</v>
      </c>
      <c r="L84" s="60" t="s">
        <v>87</v>
      </c>
      <c r="M84" s="60">
        <v>9</v>
      </c>
      <c r="N84" s="60" t="s">
        <v>87</v>
      </c>
      <c r="O84" s="60">
        <v>7</v>
      </c>
      <c r="P84" s="60" t="s">
        <v>722</v>
      </c>
      <c r="Q84" s="60" t="s">
        <v>92</v>
      </c>
      <c r="R84" s="60" t="s">
        <v>21</v>
      </c>
      <c r="S84" s="60" t="s">
        <v>92</v>
      </c>
      <c r="T84" s="60" t="s">
        <v>94</v>
      </c>
      <c r="U84" s="60" t="s">
        <v>108</v>
      </c>
      <c r="V84" s="60" t="s">
        <v>92</v>
      </c>
      <c r="W84" s="60" t="s">
        <v>93</v>
      </c>
      <c r="X84" s="63" t="s">
        <v>95</v>
      </c>
    </row>
    <row r="85" spans="1:24">
      <c r="A85" s="60">
        <v>50</v>
      </c>
      <c r="B85" s="61" t="s">
        <v>179</v>
      </c>
      <c r="C85" s="62" t="s">
        <v>180</v>
      </c>
      <c r="D85" s="62" t="s">
        <v>181</v>
      </c>
      <c r="E85" s="60" t="s">
        <v>86</v>
      </c>
      <c r="F85" s="60" t="s">
        <v>87</v>
      </c>
      <c r="G85" s="60" t="s">
        <v>88</v>
      </c>
      <c r="H85" s="60" t="s">
        <v>100</v>
      </c>
      <c r="I85" s="60" t="s">
        <v>90</v>
      </c>
      <c r="J85" s="60" t="s">
        <v>3</v>
      </c>
      <c r="K85" s="60" t="s">
        <v>2</v>
      </c>
      <c r="L85" s="60">
        <v>114</v>
      </c>
      <c r="M85" s="60" t="s">
        <v>87</v>
      </c>
      <c r="N85" s="60">
        <v>9</v>
      </c>
      <c r="O85" s="60" t="s">
        <v>87</v>
      </c>
      <c r="P85" s="60">
        <v>9</v>
      </c>
      <c r="Q85" s="60" t="s">
        <v>19</v>
      </c>
      <c r="R85" s="60" t="s">
        <v>20</v>
      </c>
      <c r="S85" s="60" t="s">
        <v>37</v>
      </c>
      <c r="T85" s="60" t="s">
        <v>94</v>
      </c>
      <c r="U85" s="60" t="s">
        <v>101</v>
      </c>
      <c r="V85" s="60" t="s">
        <v>92</v>
      </c>
      <c r="W85" s="60" t="s">
        <v>108</v>
      </c>
      <c r="X85" s="63" t="s">
        <v>95</v>
      </c>
    </row>
    <row r="86" spans="1:24">
      <c r="A86" s="60">
        <v>438</v>
      </c>
      <c r="B86" s="61" t="s">
        <v>183</v>
      </c>
      <c r="C86" s="62" t="s">
        <v>184</v>
      </c>
      <c r="D86" s="62" t="s">
        <v>185</v>
      </c>
      <c r="E86" s="60" t="s">
        <v>186</v>
      </c>
      <c r="F86" s="60" t="s">
        <v>87</v>
      </c>
      <c r="G86" s="60" t="s">
        <v>129</v>
      </c>
      <c r="H86" s="60" t="s">
        <v>100</v>
      </c>
      <c r="I86" s="60" t="s">
        <v>101</v>
      </c>
      <c r="J86" s="60" t="s">
        <v>3</v>
      </c>
      <c r="K86" s="60" t="s">
        <v>3</v>
      </c>
      <c r="L86" s="60">
        <v>199</v>
      </c>
      <c r="M86" s="60" t="s">
        <v>87</v>
      </c>
      <c r="N86" s="60">
        <v>9</v>
      </c>
      <c r="O86" s="60" t="s">
        <v>87</v>
      </c>
      <c r="P86" s="60">
        <v>9</v>
      </c>
      <c r="Q86" s="60" t="s">
        <v>92</v>
      </c>
      <c r="R86" s="60" t="s">
        <v>20</v>
      </c>
      <c r="S86" s="60" t="s">
        <v>92</v>
      </c>
      <c r="T86" s="60" t="s">
        <v>94</v>
      </c>
      <c r="U86" s="60" t="s">
        <v>93</v>
      </c>
      <c r="V86" s="60" t="s">
        <v>92</v>
      </c>
      <c r="W86" s="60" t="s">
        <v>108</v>
      </c>
      <c r="X86" s="63" t="s">
        <v>102</v>
      </c>
    </row>
    <row r="87" spans="1:24">
      <c r="A87" s="60">
        <v>856</v>
      </c>
      <c r="B87" s="61" t="s">
        <v>187</v>
      </c>
      <c r="C87" s="62" t="s">
        <v>188</v>
      </c>
      <c r="D87" s="62" t="s">
        <v>189</v>
      </c>
      <c r="E87" s="60" t="s">
        <v>190</v>
      </c>
      <c r="F87" s="60" t="s">
        <v>87</v>
      </c>
      <c r="G87" s="60" t="s">
        <v>117</v>
      </c>
      <c r="H87" s="60" t="s">
        <v>100</v>
      </c>
      <c r="I87" s="60" t="s">
        <v>101</v>
      </c>
      <c r="J87" s="60" t="s">
        <v>2</v>
      </c>
      <c r="K87" s="60" t="s">
        <v>3</v>
      </c>
      <c r="L87" s="60">
        <v>219</v>
      </c>
      <c r="M87" s="60" t="s">
        <v>87</v>
      </c>
      <c r="N87" s="60">
        <v>13</v>
      </c>
      <c r="O87" s="60" t="s">
        <v>87</v>
      </c>
      <c r="P87" s="60">
        <v>13</v>
      </c>
      <c r="Q87" s="60" t="s">
        <v>24</v>
      </c>
      <c r="R87" s="60" t="s">
        <v>20</v>
      </c>
      <c r="S87" s="60" t="s">
        <v>92</v>
      </c>
      <c r="T87" s="60" t="s">
        <v>94</v>
      </c>
      <c r="U87" s="60" t="s">
        <v>90</v>
      </c>
      <c r="V87" s="60" t="s">
        <v>92</v>
      </c>
      <c r="W87" s="60" t="s">
        <v>101</v>
      </c>
      <c r="X87" s="63" t="s">
        <v>102</v>
      </c>
    </row>
    <row r="88" spans="1:24">
      <c r="A88" s="60">
        <v>1140</v>
      </c>
      <c r="B88" s="61" t="s">
        <v>1522</v>
      </c>
      <c r="C88" s="62" t="s">
        <v>1523</v>
      </c>
      <c r="D88" s="62" t="s">
        <v>276</v>
      </c>
      <c r="E88" s="60" t="s">
        <v>127</v>
      </c>
      <c r="F88" s="60" t="s">
        <v>87</v>
      </c>
      <c r="G88" s="60" t="s">
        <v>150</v>
      </c>
      <c r="H88" s="60" t="s">
        <v>707</v>
      </c>
      <c r="I88" s="60" t="s">
        <v>90</v>
      </c>
      <c r="J88" s="60" t="s">
        <v>2</v>
      </c>
      <c r="K88" s="60" t="s">
        <v>2</v>
      </c>
      <c r="L88" s="60" t="s">
        <v>87</v>
      </c>
      <c r="M88" s="60">
        <v>13</v>
      </c>
      <c r="N88" s="60" t="s">
        <v>87</v>
      </c>
      <c r="O88" s="60">
        <v>3</v>
      </c>
      <c r="P88" s="60" t="s">
        <v>727</v>
      </c>
      <c r="Q88" s="60" t="s">
        <v>22</v>
      </c>
      <c r="R88" s="60" t="s">
        <v>21</v>
      </c>
      <c r="S88" s="60" t="s">
        <v>3</v>
      </c>
      <c r="T88" s="60" t="s">
        <v>94</v>
      </c>
      <c r="U88" s="60" t="s">
        <v>93</v>
      </c>
      <c r="V88" s="60" t="s">
        <v>92</v>
      </c>
      <c r="W88" s="60" t="s">
        <v>93</v>
      </c>
      <c r="X88" s="63" t="s">
        <v>95</v>
      </c>
    </row>
    <row r="89" spans="1:24">
      <c r="A89" s="60">
        <v>478</v>
      </c>
      <c r="B89" s="61" t="s">
        <v>1524</v>
      </c>
      <c r="C89" s="62" t="s">
        <v>1525</v>
      </c>
      <c r="D89" s="62" t="s">
        <v>1526</v>
      </c>
      <c r="E89" s="60" t="s">
        <v>197</v>
      </c>
      <c r="F89" s="60" t="s">
        <v>87</v>
      </c>
      <c r="G89" s="60" t="s">
        <v>112</v>
      </c>
      <c r="H89" s="60" t="s">
        <v>707</v>
      </c>
      <c r="I89" s="60" t="s">
        <v>101</v>
      </c>
      <c r="J89" s="60" t="s">
        <v>2</v>
      </c>
      <c r="K89" s="60" t="s">
        <v>2</v>
      </c>
      <c r="L89" s="60" t="s">
        <v>87</v>
      </c>
      <c r="M89" s="60">
        <v>27</v>
      </c>
      <c r="N89" s="60" t="s">
        <v>87</v>
      </c>
      <c r="O89" s="60">
        <v>6</v>
      </c>
      <c r="P89" s="60" t="s">
        <v>740</v>
      </c>
      <c r="Q89" s="60" t="s">
        <v>24</v>
      </c>
      <c r="R89" s="60" t="s">
        <v>21</v>
      </c>
      <c r="S89" s="60" t="s">
        <v>37</v>
      </c>
      <c r="T89" s="60" t="s">
        <v>94</v>
      </c>
      <c r="U89" s="60" t="s">
        <v>108</v>
      </c>
      <c r="V89" s="60" t="s">
        <v>94</v>
      </c>
      <c r="W89" s="60" t="s">
        <v>101</v>
      </c>
      <c r="X89" s="63" t="s">
        <v>102</v>
      </c>
    </row>
    <row r="90" spans="1:24">
      <c r="A90" s="60">
        <v>770</v>
      </c>
      <c r="B90" s="61" t="s">
        <v>191</v>
      </c>
      <c r="C90" s="62" t="s">
        <v>192</v>
      </c>
      <c r="D90" s="62" t="s">
        <v>193</v>
      </c>
      <c r="E90" s="60" t="s">
        <v>194</v>
      </c>
      <c r="F90" s="60" t="s">
        <v>87</v>
      </c>
      <c r="G90" s="60" t="s">
        <v>270</v>
      </c>
      <c r="H90" s="60" t="s">
        <v>100</v>
      </c>
      <c r="I90" s="60" t="s">
        <v>90</v>
      </c>
      <c r="J90" s="60" t="s">
        <v>2</v>
      </c>
      <c r="K90" s="60" t="s">
        <v>2</v>
      </c>
      <c r="L90" s="60">
        <v>164</v>
      </c>
      <c r="M90" s="60" t="s">
        <v>87</v>
      </c>
      <c r="N90" s="60">
        <v>12</v>
      </c>
      <c r="O90" s="60" t="s">
        <v>87</v>
      </c>
      <c r="P90" s="60">
        <v>12</v>
      </c>
      <c r="Q90" s="60" t="s">
        <v>22</v>
      </c>
      <c r="R90" s="60" t="s">
        <v>92</v>
      </c>
      <c r="S90" s="60" t="s">
        <v>37</v>
      </c>
      <c r="T90" s="60" t="s">
        <v>92</v>
      </c>
      <c r="U90" s="60" t="s">
        <v>108</v>
      </c>
      <c r="V90" s="60" t="s">
        <v>92</v>
      </c>
      <c r="W90" s="60" t="s">
        <v>93</v>
      </c>
      <c r="X90" s="63" t="s">
        <v>95</v>
      </c>
    </row>
    <row r="91" spans="1:24">
      <c r="A91" s="60">
        <v>590</v>
      </c>
      <c r="B91" s="61" t="s">
        <v>1306</v>
      </c>
      <c r="C91" s="62" t="s">
        <v>797</v>
      </c>
      <c r="D91" s="62" t="s">
        <v>1307</v>
      </c>
      <c r="E91" s="60" t="s">
        <v>163</v>
      </c>
      <c r="F91" s="60" t="s">
        <v>87</v>
      </c>
      <c r="G91" s="60" t="s">
        <v>112</v>
      </c>
      <c r="H91" s="60" t="s">
        <v>100</v>
      </c>
      <c r="I91" s="60" t="s">
        <v>90</v>
      </c>
      <c r="J91" s="60" t="s">
        <v>2</v>
      </c>
      <c r="K91" s="60" t="s">
        <v>2</v>
      </c>
      <c r="L91" s="60">
        <v>80</v>
      </c>
      <c r="M91" s="60" t="s">
        <v>87</v>
      </c>
      <c r="N91" s="60">
        <v>4</v>
      </c>
      <c r="O91" s="60" t="s">
        <v>87</v>
      </c>
      <c r="P91" s="60">
        <v>4</v>
      </c>
      <c r="Q91" s="60" t="s">
        <v>92</v>
      </c>
      <c r="R91" s="60" t="s">
        <v>21</v>
      </c>
      <c r="S91" s="60" t="s">
        <v>3</v>
      </c>
      <c r="T91" s="60" t="s">
        <v>94</v>
      </c>
      <c r="U91" s="60" t="s">
        <v>93</v>
      </c>
      <c r="V91" s="60" t="s">
        <v>92</v>
      </c>
      <c r="W91" s="60" t="s">
        <v>90</v>
      </c>
      <c r="X91" s="63" t="s">
        <v>95</v>
      </c>
    </row>
    <row r="92" spans="1:24">
      <c r="A92" s="60">
        <v>911</v>
      </c>
      <c r="B92" s="61" t="s">
        <v>800</v>
      </c>
      <c r="C92" s="62" t="s">
        <v>801</v>
      </c>
      <c r="D92" s="62" t="s">
        <v>802</v>
      </c>
      <c r="E92" s="60" t="s">
        <v>178</v>
      </c>
      <c r="F92" s="60" t="s">
        <v>170</v>
      </c>
      <c r="G92" s="60" t="s">
        <v>150</v>
      </c>
      <c r="H92" s="60" t="s">
        <v>707</v>
      </c>
      <c r="I92" s="60" t="s">
        <v>90</v>
      </c>
      <c r="J92" s="60" t="s">
        <v>3</v>
      </c>
      <c r="K92" s="60" t="s">
        <v>3</v>
      </c>
      <c r="L92" s="60" t="s">
        <v>87</v>
      </c>
      <c r="M92" s="60">
        <v>100</v>
      </c>
      <c r="N92" s="60" t="s">
        <v>87</v>
      </c>
      <c r="O92" s="60">
        <v>1</v>
      </c>
      <c r="P92" s="60" t="s">
        <v>729</v>
      </c>
      <c r="Q92" s="60" t="s">
        <v>19</v>
      </c>
      <c r="R92" s="60" t="s">
        <v>21</v>
      </c>
      <c r="S92" s="60" t="s">
        <v>92</v>
      </c>
      <c r="T92" s="60" t="s">
        <v>92</v>
      </c>
      <c r="U92" s="60" t="s">
        <v>101</v>
      </c>
      <c r="V92" s="60" t="s">
        <v>92</v>
      </c>
      <c r="W92" s="60" t="s">
        <v>93</v>
      </c>
      <c r="X92" s="63" t="s">
        <v>95</v>
      </c>
    </row>
    <row r="93" spans="1:24">
      <c r="A93" s="60">
        <v>1154</v>
      </c>
      <c r="B93" s="61" t="s">
        <v>195</v>
      </c>
      <c r="C93" s="62" t="s">
        <v>196</v>
      </c>
      <c r="D93" s="62" t="s">
        <v>145</v>
      </c>
      <c r="E93" s="60" t="s">
        <v>127</v>
      </c>
      <c r="F93" s="60" t="s">
        <v>170</v>
      </c>
      <c r="G93" s="60" t="s">
        <v>99</v>
      </c>
      <c r="H93" s="60" t="s">
        <v>89</v>
      </c>
      <c r="I93" s="60" t="s">
        <v>101</v>
      </c>
      <c r="J93" s="60" t="s">
        <v>2</v>
      </c>
      <c r="K93" s="60" t="s">
        <v>2</v>
      </c>
      <c r="L93" s="60">
        <v>200</v>
      </c>
      <c r="M93" s="60">
        <v>31</v>
      </c>
      <c r="N93" s="60">
        <v>2</v>
      </c>
      <c r="O93" s="60" t="s">
        <v>108</v>
      </c>
      <c r="P93" s="60" t="s">
        <v>113</v>
      </c>
      <c r="Q93" s="60" t="s">
        <v>22</v>
      </c>
      <c r="R93" s="60" t="s">
        <v>92</v>
      </c>
      <c r="S93" s="60" t="s">
        <v>92</v>
      </c>
      <c r="T93" s="60" t="s">
        <v>94</v>
      </c>
      <c r="U93" s="60" t="s">
        <v>108</v>
      </c>
      <c r="V93" s="60" t="s">
        <v>92</v>
      </c>
      <c r="W93" s="60" t="s">
        <v>93</v>
      </c>
      <c r="X93" s="63" t="s">
        <v>102</v>
      </c>
    </row>
    <row r="94" spans="1:24">
      <c r="A94" s="60">
        <v>1326</v>
      </c>
      <c r="B94" s="61" t="s">
        <v>199</v>
      </c>
      <c r="C94" s="62" t="s">
        <v>200</v>
      </c>
      <c r="D94" s="62" t="s">
        <v>201</v>
      </c>
      <c r="E94" s="60" t="s">
        <v>190</v>
      </c>
      <c r="F94" s="60" t="s">
        <v>87</v>
      </c>
      <c r="G94" s="60" t="s">
        <v>88</v>
      </c>
      <c r="H94" s="60" t="s">
        <v>100</v>
      </c>
      <c r="I94" s="60" t="s">
        <v>101</v>
      </c>
      <c r="J94" s="60" t="s">
        <v>2</v>
      </c>
      <c r="K94" s="60" t="s">
        <v>2</v>
      </c>
      <c r="L94" s="60">
        <v>58</v>
      </c>
      <c r="M94" s="60">
        <v>3</v>
      </c>
      <c r="N94" s="60">
        <v>3</v>
      </c>
      <c r="O94" s="60" t="s">
        <v>108</v>
      </c>
      <c r="P94" s="60" t="s">
        <v>134</v>
      </c>
      <c r="Q94" s="60" t="s">
        <v>92</v>
      </c>
      <c r="R94" s="60" t="s">
        <v>92</v>
      </c>
      <c r="S94" s="60" t="s">
        <v>3</v>
      </c>
      <c r="T94" s="60" t="s">
        <v>94</v>
      </c>
      <c r="U94" s="60" t="s">
        <v>90</v>
      </c>
      <c r="V94" s="60" t="s">
        <v>92</v>
      </c>
      <c r="W94" s="60" t="s">
        <v>93</v>
      </c>
      <c r="X94" s="63" t="s">
        <v>102</v>
      </c>
    </row>
    <row r="95" spans="1:24">
      <c r="A95" s="60">
        <v>775</v>
      </c>
      <c r="B95" s="61" t="s">
        <v>803</v>
      </c>
      <c r="C95" s="62" t="s">
        <v>804</v>
      </c>
      <c r="D95" s="62" t="s">
        <v>805</v>
      </c>
      <c r="E95" s="60" t="s">
        <v>194</v>
      </c>
      <c r="F95" s="60" t="s">
        <v>87</v>
      </c>
      <c r="G95" s="60" t="s">
        <v>164</v>
      </c>
      <c r="H95" s="60" t="s">
        <v>707</v>
      </c>
      <c r="I95" s="60" t="s">
        <v>101</v>
      </c>
      <c r="J95" s="60" t="s">
        <v>2</v>
      </c>
      <c r="K95" s="60" t="s">
        <v>2</v>
      </c>
      <c r="L95" s="60" t="s">
        <v>87</v>
      </c>
      <c r="M95" s="60">
        <v>75</v>
      </c>
      <c r="N95" s="60" t="s">
        <v>87</v>
      </c>
      <c r="O95" s="60">
        <v>11</v>
      </c>
      <c r="P95" s="60" t="s">
        <v>778</v>
      </c>
      <c r="Q95" s="60" t="s">
        <v>19</v>
      </c>
      <c r="R95" s="60" t="s">
        <v>92</v>
      </c>
      <c r="S95" s="60" t="s">
        <v>92</v>
      </c>
      <c r="T95" s="60" t="s">
        <v>92</v>
      </c>
      <c r="U95" s="60" t="s">
        <v>108</v>
      </c>
      <c r="V95" s="60" t="s">
        <v>92</v>
      </c>
      <c r="W95" s="60" t="s">
        <v>93</v>
      </c>
      <c r="X95" s="63" t="s">
        <v>102</v>
      </c>
    </row>
    <row r="96" spans="1:24">
      <c r="A96" s="60">
        <v>1309</v>
      </c>
      <c r="B96" s="61" t="s">
        <v>1308</v>
      </c>
      <c r="C96" s="62" t="s">
        <v>1309</v>
      </c>
      <c r="D96" s="62" t="s">
        <v>1310</v>
      </c>
      <c r="E96" s="60" t="s">
        <v>209</v>
      </c>
      <c r="F96" s="60" t="s">
        <v>170</v>
      </c>
      <c r="G96" s="60" t="s">
        <v>99</v>
      </c>
      <c r="H96" s="60" t="s">
        <v>707</v>
      </c>
      <c r="I96" s="60" t="s">
        <v>90</v>
      </c>
      <c r="J96" s="60" t="s">
        <v>2</v>
      </c>
      <c r="K96" s="60" t="s">
        <v>2</v>
      </c>
      <c r="L96" s="60" t="s">
        <v>87</v>
      </c>
      <c r="M96" s="60">
        <v>100</v>
      </c>
      <c r="N96" s="60" t="s">
        <v>87</v>
      </c>
      <c r="O96" s="60">
        <v>1</v>
      </c>
      <c r="P96" s="60" t="s">
        <v>729</v>
      </c>
      <c r="Q96" s="60" t="s">
        <v>22</v>
      </c>
      <c r="R96" s="60" t="s">
        <v>21</v>
      </c>
      <c r="S96" s="60" t="s">
        <v>92</v>
      </c>
      <c r="T96" s="60" t="s">
        <v>92</v>
      </c>
      <c r="U96" s="60" t="s">
        <v>101</v>
      </c>
      <c r="V96" s="60" t="s">
        <v>92</v>
      </c>
      <c r="W96" s="60" t="s">
        <v>93</v>
      </c>
      <c r="X96" s="63" t="s">
        <v>95</v>
      </c>
    </row>
    <row r="97" spans="1:24">
      <c r="A97" s="60">
        <v>657</v>
      </c>
      <c r="B97" s="61" t="s">
        <v>808</v>
      </c>
      <c r="C97" s="62" t="s">
        <v>809</v>
      </c>
      <c r="D97" s="62" t="s">
        <v>810</v>
      </c>
      <c r="E97" s="60" t="s">
        <v>106</v>
      </c>
      <c r="F97" s="60" t="s">
        <v>87</v>
      </c>
      <c r="G97" s="60" t="s">
        <v>112</v>
      </c>
      <c r="H97" s="60" t="s">
        <v>707</v>
      </c>
      <c r="I97" s="60" t="s">
        <v>90</v>
      </c>
      <c r="J97" s="60" t="s">
        <v>2</v>
      </c>
      <c r="K97" s="60" t="s">
        <v>2</v>
      </c>
      <c r="L97" s="60" t="s">
        <v>87</v>
      </c>
      <c r="M97" s="60">
        <v>31</v>
      </c>
      <c r="N97" s="60" t="s">
        <v>87</v>
      </c>
      <c r="O97" s="60">
        <v>21</v>
      </c>
      <c r="P97" s="60" t="s">
        <v>1158</v>
      </c>
      <c r="Q97" s="60" t="s">
        <v>24</v>
      </c>
      <c r="R97" s="60" t="s">
        <v>92</v>
      </c>
      <c r="S97" s="60" t="s">
        <v>37</v>
      </c>
      <c r="T97" s="60" t="s">
        <v>94</v>
      </c>
      <c r="U97" s="60" t="s">
        <v>108</v>
      </c>
      <c r="V97" s="60" t="s">
        <v>92</v>
      </c>
      <c r="W97" s="60" t="s">
        <v>93</v>
      </c>
      <c r="X97" s="63" t="s">
        <v>95</v>
      </c>
    </row>
    <row r="98" spans="1:24">
      <c r="A98" s="60">
        <v>299</v>
      </c>
      <c r="B98" s="61" t="s">
        <v>202</v>
      </c>
      <c r="C98" s="62" t="s">
        <v>203</v>
      </c>
      <c r="D98" s="62" t="s">
        <v>122</v>
      </c>
      <c r="E98" s="60" t="s">
        <v>408</v>
      </c>
      <c r="F98" s="60" t="s">
        <v>170</v>
      </c>
      <c r="G98" s="60" t="s">
        <v>129</v>
      </c>
      <c r="H98" s="60" t="s">
        <v>100</v>
      </c>
      <c r="I98" s="60" t="s">
        <v>101</v>
      </c>
      <c r="J98" s="60" t="s">
        <v>3</v>
      </c>
      <c r="K98" s="60" t="s">
        <v>3</v>
      </c>
      <c r="L98" s="60">
        <v>200</v>
      </c>
      <c r="M98" s="60">
        <v>100</v>
      </c>
      <c r="N98" s="60">
        <v>1</v>
      </c>
      <c r="O98" s="60">
        <v>1</v>
      </c>
      <c r="P98" s="60" t="s">
        <v>255</v>
      </c>
      <c r="Q98" s="60" t="s">
        <v>22</v>
      </c>
      <c r="R98" s="60" t="s">
        <v>21</v>
      </c>
      <c r="S98" s="60" t="s">
        <v>92</v>
      </c>
      <c r="T98" s="60" t="s">
        <v>94</v>
      </c>
      <c r="U98" s="60" t="s">
        <v>93</v>
      </c>
      <c r="V98" s="60" t="s">
        <v>92</v>
      </c>
      <c r="W98" s="60" t="s">
        <v>101</v>
      </c>
      <c r="X98" s="63" t="s">
        <v>102</v>
      </c>
    </row>
    <row r="99" spans="1:24">
      <c r="A99" s="60">
        <v>1253</v>
      </c>
      <c r="B99" s="61" t="s">
        <v>1311</v>
      </c>
      <c r="C99" s="62" t="s">
        <v>1312</v>
      </c>
      <c r="D99" s="62" t="s">
        <v>779</v>
      </c>
      <c r="E99" s="60" t="s">
        <v>328</v>
      </c>
      <c r="F99" s="60" t="s">
        <v>87</v>
      </c>
      <c r="G99" s="60" t="s">
        <v>402</v>
      </c>
      <c r="H99" s="60" t="s">
        <v>707</v>
      </c>
      <c r="I99" s="60" t="s">
        <v>101</v>
      </c>
      <c r="J99" s="60" t="s">
        <v>3</v>
      </c>
      <c r="K99" s="60" t="s">
        <v>2</v>
      </c>
      <c r="L99" s="60" t="s">
        <v>87</v>
      </c>
      <c r="M99" s="60">
        <v>8</v>
      </c>
      <c r="N99" s="60" t="s">
        <v>87</v>
      </c>
      <c r="O99" s="60">
        <v>3</v>
      </c>
      <c r="P99" s="60" t="s">
        <v>727</v>
      </c>
      <c r="Q99" s="60" t="s">
        <v>22</v>
      </c>
      <c r="R99" s="60" t="s">
        <v>20</v>
      </c>
      <c r="S99" s="60" t="s">
        <v>37</v>
      </c>
      <c r="T99" s="60" t="s">
        <v>94</v>
      </c>
      <c r="U99" s="60" t="s">
        <v>108</v>
      </c>
      <c r="V99" s="60" t="s">
        <v>94</v>
      </c>
      <c r="W99" s="60" t="s">
        <v>90</v>
      </c>
      <c r="X99" s="63" t="s">
        <v>102</v>
      </c>
    </row>
    <row r="100" spans="1:24">
      <c r="A100" s="60">
        <v>900</v>
      </c>
      <c r="B100" s="61" t="s">
        <v>811</v>
      </c>
      <c r="C100" s="62" t="s">
        <v>812</v>
      </c>
      <c r="D100" s="62" t="s">
        <v>358</v>
      </c>
      <c r="E100" s="60" t="s">
        <v>127</v>
      </c>
      <c r="F100" s="60" t="s">
        <v>87</v>
      </c>
      <c r="G100" s="60" t="s">
        <v>182</v>
      </c>
      <c r="H100" s="60" t="s">
        <v>707</v>
      </c>
      <c r="I100" s="60" t="s">
        <v>90</v>
      </c>
      <c r="J100" s="60" t="s">
        <v>2</v>
      </c>
      <c r="K100" s="60" t="s">
        <v>2</v>
      </c>
      <c r="L100" s="60" t="s">
        <v>87</v>
      </c>
      <c r="M100" s="60">
        <v>25</v>
      </c>
      <c r="N100" s="60" t="s">
        <v>87</v>
      </c>
      <c r="O100" s="60">
        <v>6</v>
      </c>
      <c r="P100" s="60" t="s">
        <v>740</v>
      </c>
      <c r="Q100" s="60" t="s">
        <v>92</v>
      </c>
      <c r="R100" s="60" t="s">
        <v>92</v>
      </c>
      <c r="S100" s="60" t="s">
        <v>3</v>
      </c>
      <c r="T100" s="60" t="s">
        <v>94</v>
      </c>
      <c r="U100" s="60" t="s">
        <v>108</v>
      </c>
      <c r="V100" s="60" t="s">
        <v>92</v>
      </c>
      <c r="W100" s="60" t="s">
        <v>90</v>
      </c>
      <c r="X100" s="63" t="s">
        <v>95</v>
      </c>
    </row>
    <row r="101" spans="1:24">
      <c r="A101" s="60">
        <v>1137</v>
      </c>
      <c r="B101" s="61" t="s">
        <v>813</v>
      </c>
      <c r="C101" s="62" t="s">
        <v>812</v>
      </c>
      <c r="D101" s="62" t="s">
        <v>814</v>
      </c>
      <c r="E101" s="60" t="s">
        <v>149</v>
      </c>
      <c r="F101" s="60" t="s">
        <v>170</v>
      </c>
      <c r="G101" s="60" t="s">
        <v>99</v>
      </c>
      <c r="H101" s="60" t="s">
        <v>707</v>
      </c>
      <c r="I101" s="60" t="s">
        <v>101</v>
      </c>
      <c r="J101" s="60" t="s">
        <v>2</v>
      </c>
      <c r="K101" s="60" t="s">
        <v>2</v>
      </c>
      <c r="L101" s="60" t="s">
        <v>87</v>
      </c>
      <c r="M101" s="60">
        <v>100</v>
      </c>
      <c r="N101" s="60" t="s">
        <v>87</v>
      </c>
      <c r="O101" s="60">
        <v>1</v>
      </c>
      <c r="P101" s="60" t="s">
        <v>729</v>
      </c>
      <c r="Q101" s="60" t="s">
        <v>24</v>
      </c>
      <c r="R101" s="60" t="s">
        <v>20</v>
      </c>
      <c r="S101" s="60" t="s">
        <v>38</v>
      </c>
      <c r="T101" s="60" t="s">
        <v>92</v>
      </c>
      <c r="U101" s="60" t="s">
        <v>101</v>
      </c>
      <c r="V101" s="60" t="s">
        <v>92</v>
      </c>
      <c r="W101" s="60" t="s">
        <v>93</v>
      </c>
      <c r="X101" s="63" t="s">
        <v>102</v>
      </c>
    </row>
    <row r="102" spans="1:24">
      <c r="A102" s="60">
        <v>107</v>
      </c>
      <c r="B102" s="61" t="s">
        <v>204</v>
      </c>
      <c r="C102" s="62" t="s">
        <v>205</v>
      </c>
      <c r="D102" s="62" t="s">
        <v>206</v>
      </c>
      <c r="E102" s="60" t="s">
        <v>146</v>
      </c>
      <c r="F102" s="60" t="s">
        <v>87</v>
      </c>
      <c r="G102" s="60" t="s">
        <v>164</v>
      </c>
      <c r="H102" s="60" t="s">
        <v>100</v>
      </c>
      <c r="I102" s="60" t="s">
        <v>101</v>
      </c>
      <c r="J102" s="60" t="s">
        <v>2</v>
      </c>
      <c r="K102" s="60" t="s">
        <v>2</v>
      </c>
      <c r="L102" s="60">
        <v>184</v>
      </c>
      <c r="M102" s="60" t="s">
        <v>87</v>
      </c>
      <c r="N102" s="60">
        <v>10</v>
      </c>
      <c r="O102" s="60" t="s">
        <v>87</v>
      </c>
      <c r="P102" s="60">
        <v>10</v>
      </c>
      <c r="Q102" s="60" t="s">
        <v>24</v>
      </c>
      <c r="R102" s="60" t="s">
        <v>20</v>
      </c>
      <c r="S102" s="60" t="s">
        <v>92</v>
      </c>
      <c r="T102" s="60" t="s">
        <v>94</v>
      </c>
      <c r="U102" s="60" t="s">
        <v>101</v>
      </c>
      <c r="V102" s="60" t="s">
        <v>92</v>
      </c>
      <c r="W102" s="60" t="s">
        <v>90</v>
      </c>
      <c r="X102" s="63" t="s">
        <v>102</v>
      </c>
    </row>
    <row r="103" spans="1:24">
      <c r="A103" s="60">
        <v>90</v>
      </c>
      <c r="B103" s="61" t="s">
        <v>1210</v>
      </c>
      <c r="C103" s="62" t="s">
        <v>1211</v>
      </c>
      <c r="D103" s="62" t="s">
        <v>140</v>
      </c>
      <c r="E103" s="60" t="s">
        <v>133</v>
      </c>
      <c r="F103" s="60" t="s">
        <v>87</v>
      </c>
      <c r="G103" s="60" t="s">
        <v>88</v>
      </c>
      <c r="H103" s="60" t="s">
        <v>707</v>
      </c>
      <c r="I103" s="60" t="s">
        <v>90</v>
      </c>
      <c r="J103" s="60" t="s">
        <v>2</v>
      </c>
      <c r="K103" s="60" t="s">
        <v>2</v>
      </c>
      <c r="L103" s="60" t="s">
        <v>87</v>
      </c>
      <c r="M103" s="60">
        <v>37</v>
      </c>
      <c r="N103" s="60" t="s">
        <v>87</v>
      </c>
      <c r="O103" s="60">
        <v>9</v>
      </c>
      <c r="P103" s="60" t="s">
        <v>744</v>
      </c>
      <c r="Q103" s="60" t="s">
        <v>92</v>
      </c>
      <c r="R103" s="60" t="s">
        <v>92</v>
      </c>
      <c r="S103" s="60" t="s">
        <v>37</v>
      </c>
      <c r="T103" s="60" t="s">
        <v>94</v>
      </c>
      <c r="U103" s="60" t="s">
        <v>108</v>
      </c>
      <c r="V103" s="60" t="s">
        <v>92</v>
      </c>
      <c r="W103" s="60" t="s">
        <v>93</v>
      </c>
      <c r="X103" s="63" t="s">
        <v>95</v>
      </c>
    </row>
    <row r="104" spans="1:24">
      <c r="A104" s="60">
        <v>828</v>
      </c>
      <c r="B104" s="61" t="s">
        <v>207</v>
      </c>
      <c r="C104" s="62" t="s">
        <v>208</v>
      </c>
      <c r="D104" s="62" t="s">
        <v>97</v>
      </c>
      <c r="E104" s="60" t="s">
        <v>209</v>
      </c>
      <c r="F104" s="60" t="s">
        <v>87</v>
      </c>
      <c r="G104" s="60" t="s">
        <v>164</v>
      </c>
      <c r="H104" s="60" t="s">
        <v>100</v>
      </c>
      <c r="I104" s="60" t="s">
        <v>101</v>
      </c>
      <c r="J104" s="60" t="s">
        <v>2</v>
      </c>
      <c r="K104" s="60" t="s">
        <v>2</v>
      </c>
      <c r="L104" s="60">
        <v>185</v>
      </c>
      <c r="M104" s="60" t="s">
        <v>87</v>
      </c>
      <c r="N104" s="60">
        <v>4</v>
      </c>
      <c r="O104" s="60" t="s">
        <v>87</v>
      </c>
      <c r="P104" s="60">
        <v>4</v>
      </c>
      <c r="Q104" s="60" t="s">
        <v>22</v>
      </c>
      <c r="R104" s="60" t="s">
        <v>92</v>
      </c>
      <c r="S104" s="60" t="s">
        <v>92</v>
      </c>
      <c r="T104" s="60" t="s">
        <v>94</v>
      </c>
      <c r="U104" s="60" t="s">
        <v>90</v>
      </c>
      <c r="V104" s="60" t="s">
        <v>92</v>
      </c>
      <c r="W104" s="60" t="s">
        <v>90</v>
      </c>
      <c r="X104" s="63" t="s">
        <v>102</v>
      </c>
    </row>
    <row r="105" spans="1:24">
      <c r="A105" s="60">
        <v>866</v>
      </c>
      <c r="B105" s="61" t="s">
        <v>815</v>
      </c>
      <c r="C105" s="62" t="s">
        <v>816</v>
      </c>
      <c r="D105" s="62" t="s">
        <v>817</v>
      </c>
      <c r="E105" s="60" t="s">
        <v>190</v>
      </c>
      <c r="F105" s="60" t="s">
        <v>87</v>
      </c>
      <c r="G105" s="60" t="s">
        <v>158</v>
      </c>
      <c r="H105" s="60" t="s">
        <v>707</v>
      </c>
      <c r="I105" s="60" t="s">
        <v>90</v>
      </c>
      <c r="J105" s="60" t="s">
        <v>2</v>
      </c>
      <c r="K105" s="60" t="s">
        <v>2</v>
      </c>
      <c r="L105" s="60" t="s">
        <v>87</v>
      </c>
      <c r="M105" s="60">
        <v>58</v>
      </c>
      <c r="N105" s="60" t="s">
        <v>87</v>
      </c>
      <c r="O105" s="60">
        <v>14</v>
      </c>
      <c r="P105" s="60" t="s">
        <v>794</v>
      </c>
      <c r="Q105" s="60" t="s">
        <v>19</v>
      </c>
      <c r="R105" s="60" t="s">
        <v>92</v>
      </c>
      <c r="S105" s="60" t="s">
        <v>92</v>
      </c>
      <c r="T105" s="60" t="s">
        <v>94</v>
      </c>
      <c r="U105" s="60" t="s">
        <v>90</v>
      </c>
      <c r="V105" s="60" t="s">
        <v>92</v>
      </c>
      <c r="W105" s="60" t="s">
        <v>93</v>
      </c>
      <c r="X105" s="63" t="s">
        <v>95</v>
      </c>
    </row>
    <row r="106" spans="1:24">
      <c r="A106" s="60">
        <v>1052</v>
      </c>
      <c r="B106" s="61" t="s">
        <v>1527</v>
      </c>
      <c r="C106" s="62" t="s">
        <v>1528</v>
      </c>
      <c r="D106" s="62" t="s">
        <v>1529</v>
      </c>
      <c r="E106" s="60" t="s">
        <v>50</v>
      </c>
      <c r="F106" s="60" t="s">
        <v>87</v>
      </c>
      <c r="G106" s="60" t="s">
        <v>171</v>
      </c>
      <c r="H106" s="60" t="s">
        <v>707</v>
      </c>
      <c r="I106" s="60" t="s">
        <v>90</v>
      </c>
      <c r="J106" s="60" t="s">
        <v>2</v>
      </c>
      <c r="K106" s="60" t="s">
        <v>2</v>
      </c>
      <c r="L106" s="60" t="s">
        <v>87</v>
      </c>
      <c r="M106" s="60">
        <v>4</v>
      </c>
      <c r="N106" s="60" t="s">
        <v>87</v>
      </c>
      <c r="O106" s="60">
        <v>3</v>
      </c>
      <c r="P106" s="60" t="s">
        <v>727</v>
      </c>
      <c r="Q106" s="60" t="s">
        <v>92</v>
      </c>
      <c r="R106" s="60" t="s">
        <v>21</v>
      </c>
      <c r="S106" s="60" t="s">
        <v>38</v>
      </c>
      <c r="T106" s="60" t="s">
        <v>92</v>
      </c>
      <c r="U106" s="60" t="s">
        <v>101</v>
      </c>
      <c r="V106" s="60" t="s">
        <v>92</v>
      </c>
      <c r="W106" s="60" t="s">
        <v>93</v>
      </c>
      <c r="X106" s="63" t="s">
        <v>95</v>
      </c>
    </row>
    <row r="107" spans="1:24">
      <c r="A107" s="60">
        <v>1196</v>
      </c>
      <c r="B107" s="61" t="s">
        <v>1530</v>
      </c>
      <c r="C107" s="62" t="s">
        <v>1528</v>
      </c>
      <c r="D107" s="62" t="s">
        <v>339</v>
      </c>
      <c r="E107" s="60" t="s">
        <v>127</v>
      </c>
      <c r="F107" s="60" t="s">
        <v>87</v>
      </c>
      <c r="G107" s="60" t="s">
        <v>296</v>
      </c>
      <c r="H107" s="60" t="s">
        <v>707</v>
      </c>
      <c r="I107" s="60" t="s">
        <v>90</v>
      </c>
      <c r="J107" s="60" t="s">
        <v>2</v>
      </c>
      <c r="K107" s="60" t="s">
        <v>2</v>
      </c>
      <c r="L107" s="60" t="s">
        <v>87</v>
      </c>
      <c r="M107" s="60">
        <v>18</v>
      </c>
      <c r="N107" s="60" t="s">
        <v>87</v>
      </c>
      <c r="O107" s="60">
        <v>4</v>
      </c>
      <c r="P107" s="60" t="s">
        <v>754</v>
      </c>
      <c r="Q107" s="60" t="s">
        <v>22</v>
      </c>
      <c r="R107" s="60" t="s">
        <v>21</v>
      </c>
      <c r="S107" s="60" t="s">
        <v>38</v>
      </c>
      <c r="T107" s="60" t="s">
        <v>92</v>
      </c>
      <c r="U107" s="60" t="s">
        <v>108</v>
      </c>
      <c r="V107" s="60" t="s">
        <v>94</v>
      </c>
      <c r="W107" s="60" t="s">
        <v>90</v>
      </c>
      <c r="X107" s="63" t="s">
        <v>95</v>
      </c>
    </row>
    <row r="108" spans="1:24">
      <c r="A108" s="60">
        <v>1193</v>
      </c>
      <c r="B108" s="61" t="s">
        <v>1531</v>
      </c>
      <c r="C108" s="62" t="s">
        <v>1528</v>
      </c>
      <c r="D108" s="62" t="s">
        <v>1532</v>
      </c>
      <c r="E108" s="60" t="s">
        <v>163</v>
      </c>
      <c r="F108" s="60" t="s">
        <v>87</v>
      </c>
      <c r="G108" s="60" t="s">
        <v>99</v>
      </c>
      <c r="H108" s="60" t="s">
        <v>707</v>
      </c>
      <c r="I108" s="60" t="s">
        <v>90</v>
      </c>
      <c r="J108" s="60" t="s">
        <v>2</v>
      </c>
      <c r="K108" s="60" t="s">
        <v>2</v>
      </c>
      <c r="L108" s="60" t="s">
        <v>87</v>
      </c>
      <c r="M108" s="60">
        <v>11</v>
      </c>
      <c r="N108" s="60" t="s">
        <v>87</v>
      </c>
      <c r="O108" s="60">
        <v>3</v>
      </c>
      <c r="P108" s="60" t="s">
        <v>727</v>
      </c>
      <c r="Q108" s="60" t="s">
        <v>22</v>
      </c>
      <c r="R108" s="60" t="s">
        <v>21</v>
      </c>
      <c r="S108" s="60" t="s">
        <v>23</v>
      </c>
      <c r="T108" s="60" t="s">
        <v>94</v>
      </c>
      <c r="U108" s="60" t="s">
        <v>93</v>
      </c>
      <c r="V108" s="60" t="s">
        <v>92</v>
      </c>
      <c r="W108" s="60" t="s">
        <v>93</v>
      </c>
      <c r="X108" s="63" t="s">
        <v>95</v>
      </c>
    </row>
    <row r="109" spans="1:24">
      <c r="A109" s="60">
        <v>442</v>
      </c>
      <c r="B109" s="61" t="s">
        <v>818</v>
      </c>
      <c r="C109" s="62" t="s">
        <v>819</v>
      </c>
      <c r="D109" s="62" t="s">
        <v>116</v>
      </c>
      <c r="E109" s="60" t="s">
        <v>186</v>
      </c>
      <c r="F109" s="60" t="s">
        <v>87</v>
      </c>
      <c r="G109" s="60" t="s">
        <v>164</v>
      </c>
      <c r="H109" s="60" t="s">
        <v>707</v>
      </c>
      <c r="I109" s="60" t="s">
        <v>90</v>
      </c>
      <c r="J109" s="60" t="s">
        <v>2</v>
      </c>
      <c r="K109" s="60" t="s">
        <v>3</v>
      </c>
      <c r="L109" s="60" t="s">
        <v>87</v>
      </c>
      <c r="M109" s="60">
        <v>55</v>
      </c>
      <c r="N109" s="60" t="s">
        <v>87</v>
      </c>
      <c r="O109" s="60">
        <v>15</v>
      </c>
      <c r="P109" s="60" t="s">
        <v>836</v>
      </c>
      <c r="Q109" s="60" t="s">
        <v>24</v>
      </c>
      <c r="R109" s="60" t="s">
        <v>20</v>
      </c>
      <c r="S109" s="60" t="s">
        <v>37</v>
      </c>
      <c r="T109" s="60" t="s">
        <v>94</v>
      </c>
      <c r="U109" s="60" t="s">
        <v>108</v>
      </c>
      <c r="V109" s="60" t="s">
        <v>92</v>
      </c>
      <c r="W109" s="60" t="s">
        <v>93</v>
      </c>
      <c r="X109" s="63" t="s">
        <v>95</v>
      </c>
    </row>
    <row r="110" spans="1:24">
      <c r="A110" s="60">
        <v>384</v>
      </c>
      <c r="B110" s="61" t="s">
        <v>820</v>
      </c>
      <c r="C110" s="62" t="s">
        <v>821</v>
      </c>
      <c r="D110" s="62" t="s">
        <v>822</v>
      </c>
      <c r="E110" s="60" t="s">
        <v>127</v>
      </c>
      <c r="F110" s="60" t="s">
        <v>87</v>
      </c>
      <c r="G110" s="60" t="s">
        <v>164</v>
      </c>
      <c r="H110" s="60" t="s">
        <v>707</v>
      </c>
      <c r="I110" s="60" t="s">
        <v>90</v>
      </c>
      <c r="J110" s="60" t="s">
        <v>3</v>
      </c>
      <c r="K110" s="60" t="s">
        <v>3</v>
      </c>
      <c r="L110" s="60" t="s">
        <v>87</v>
      </c>
      <c r="M110" s="60">
        <v>46</v>
      </c>
      <c r="N110" s="60" t="s">
        <v>87</v>
      </c>
      <c r="O110" s="60">
        <v>17</v>
      </c>
      <c r="P110" s="60" t="s">
        <v>748</v>
      </c>
      <c r="Q110" s="60" t="s">
        <v>19</v>
      </c>
      <c r="R110" s="60" t="s">
        <v>92</v>
      </c>
      <c r="S110" s="60" t="s">
        <v>92</v>
      </c>
      <c r="T110" s="60" t="s">
        <v>94</v>
      </c>
      <c r="U110" s="60" t="s">
        <v>108</v>
      </c>
      <c r="V110" s="60" t="s">
        <v>92</v>
      </c>
      <c r="W110" s="60" t="s">
        <v>101</v>
      </c>
      <c r="X110" s="63" t="s">
        <v>95</v>
      </c>
    </row>
    <row r="111" spans="1:24">
      <c r="A111" s="60">
        <v>1130</v>
      </c>
      <c r="B111" s="61" t="s">
        <v>211</v>
      </c>
      <c r="C111" s="62" t="s">
        <v>212</v>
      </c>
      <c r="D111" s="62" t="s">
        <v>213</v>
      </c>
      <c r="E111" s="60" t="s">
        <v>197</v>
      </c>
      <c r="F111" s="60" t="s">
        <v>87</v>
      </c>
      <c r="G111" s="60" t="s">
        <v>99</v>
      </c>
      <c r="H111" s="60" t="s">
        <v>100</v>
      </c>
      <c r="I111" s="60" t="s">
        <v>101</v>
      </c>
      <c r="J111" s="60" t="s">
        <v>2</v>
      </c>
      <c r="K111" s="60" t="s">
        <v>2</v>
      </c>
      <c r="L111" s="60">
        <v>24</v>
      </c>
      <c r="M111" s="60">
        <v>3</v>
      </c>
      <c r="N111" s="60">
        <v>8</v>
      </c>
      <c r="O111" s="60" t="s">
        <v>344</v>
      </c>
      <c r="P111" s="60" t="s">
        <v>198</v>
      </c>
      <c r="Q111" s="60" t="s">
        <v>22</v>
      </c>
      <c r="R111" s="60" t="s">
        <v>92</v>
      </c>
      <c r="S111" s="60" t="s">
        <v>3</v>
      </c>
      <c r="T111" s="60" t="s">
        <v>94</v>
      </c>
      <c r="U111" s="60" t="s">
        <v>93</v>
      </c>
      <c r="V111" s="60" t="s">
        <v>94</v>
      </c>
      <c r="W111" s="60" t="s">
        <v>108</v>
      </c>
      <c r="X111" s="63" t="s">
        <v>102</v>
      </c>
    </row>
    <row r="112" spans="1:24">
      <c r="A112" s="60">
        <v>473</v>
      </c>
      <c r="B112" s="61" t="s">
        <v>1313</v>
      </c>
      <c r="C112" s="62" t="s">
        <v>1314</v>
      </c>
      <c r="D112" s="62" t="s">
        <v>97</v>
      </c>
      <c r="E112" s="60" t="s">
        <v>197</v>
      </c>
      <c r="F112" s="60" t="s">
        <v>87</v>
      </c>
      <c r="G112" s="60" t="s">
        <v>117</v>
      </c>
      <c r="H112" s="60" t="s">
        <v>707</v>
      </c>
      <c r="I112" s="60" t="s">
        <v>90</v>
      </c>
      <c r="J112" s="60" t="s">
        <v>2</v>
      </c>
      <c r="K112" s="60" t="s">
        <v>3</v>
      </c>
      <c r="L112" s="60" t="s">
        <v>87</v>
      </c>
      <c r="M112" s="60">
        <v>75</v>
      </c>
      <c r="N112" s="60" t="s">
        <v>87</v>
      </c>
      <c r="O112" s="60">
        <v>14</v>
      </c>
      <c r="P112" s="60" t="s">
        <v>794</v>
      </c>
      <c r="Q112" s="60" t="s">
        <v>22</v>
      </c>
      <c r="R112" s="60" t="s">
        <v>92</v>
      </c>
      <c r="S112" s="60" t="s">
        <v>23</v>
      </c>
      <c r="T112" s="60" t="s">
        <v>94</v>
      </c>
      <c r="U112" s="60" t="s">
        <v>101</v>
      </c>
      <c r="V112" s="60" t="s">
        <v>92</v>
      </c>
      <c r="W112" s="60" t="s">
        <v>93</v>
      </c>
      <c r="X112" s="63" t="s">
        <v>95</v>
      </c>
    </row>
    <row r="113" spans="1:24">
      <c r="A113" s="60">
        <v>210</v>
      </c>
      <c r="B113" s="61" t="s">
        <v>823</v>
      </c>
      <c r="C113" s="62" t="s">
        <v>824</v>
      </c>
      <c r="D113" s="62" t="s">
        <v>825</v>
      </c>
      <c r="E113" s="60" t="s">
        <v>127</v>
      </c>
      <c r="F113" s="60" t="s">
        <v>87</v>
      </c>
      <c r="G113" s="60" t="s">
        <v>182</v>
      </c>
      <c r="H113" s="60" t="s">
        <v>707</v>
      </c>
      <c r="I113" s="60" t="s">
        <v>101</v>
      </c>
      <c r="J113" s="60" t="s">
        <v>2</v>
      </c>
      <c r="K113" s="60" t="s">
        <v>2</v>
      </c>
      <c r="L113" s="60" t="s">
        <v>87</v>
      </c>
      <c r="M113" s="60">
        <v>28</v>
      </c>
      <c r="N113" s="60" t="s">
        <v>87</v>
      </c>
      <c r="O113" s="60">
        <v>4</v>
      </c>
      <c r="P113" s="60" t="s">
        <v>754</v>
      </c>
      <c r="Q113" s="60" t="s">
        <v>92</v>
      </c>
      <c r="R113" s="60" t="s">
        <v>92</v>
      </c>
      <c r="S113" s="60" t="s">
        <v>38</v>
      </c>
      <c r="T113" s="60" t="s">
        <v>94</v>
      </c>
      <c r="U113" s="60" t="s">
        <v>108</v>
      </c>
      <c r="V113" s="60" t="s">
        <v>92</v>
      </c>
      <c r="W113" s="60" t="s">
        <v>93</v>
      </c>
      <c r="X113" s="63" t="s">
        <v>102</v>
      </c>
    </row>
    <row r="114" spans="1:24">
      <c r="A114" s="60">
        <v>562</v>
      </c>
      <c r="B114" s="61" t="s">
        <v>826</v>
      </c>
      <c r="C114" s="62" t="s">
        <v>827</v>
      </c>
      <c r="D114" s="62" t="s">
        <v>828</v>
      </c>
      <c r="E114" s="60" t="s">
        <v>128</v>
      </c>
      <c r="F114" s="60" t="s">
        <v>87</v>
      </c>
      <c r="G114" s="60" t="s">
        <v>99</v>
      </c>
      <c r="H114" s="60" t="s">
        <v>707</v>
      </c>
      <c r="I114" s="60" t="s">
        <v>90</v>
      </c>
      <c r="J114" s="60" t="s">
        <v>3</v>
      </c>
      <c r="K114" s="60" t="s">
        <v>3</v>
      </c>
      <c r="L114" s="60" t="s">
        <v>87</v>
      </c>
      <c r="M114" s="60">
        <v>67</v>
      </c>
      <c r="N114" s="60" t="s">
        <v>87</v>
      </c>
      <c r="O114" s="60">
        <v>24</v>
      </c>
      <c r="P114" s="60" t="s">
        <v>857</v>
      </c>
      <c r="Q114" s="60" t="s">
        <v>24</v>
      </c>
      <c r="R114" s="60" t="s">
        <v>21</v>
      </c>
      <c r="S114" s="60" t="s">
        <v>37</v>
      </c>
      <c r="T114" s="60" t="s">
        <v>94</v>
      </c>
      <c r="U114" s="60" t="s">
        <v>108</v>
      </c>
      <c r="V114" s="60" t="s">
        <v>92</v>
      </c>
      <c r="W114" s="60" t="s">
        <v>93</v>
      </c>
      <c r="X114" s="63" t="s">
        <v>95</v>
      </c>
    </row>
    <row r="115" spans="1:24">
      <c r="A115" s="60">
        <v>963</v>
      </c>
      <c r="B115" s="61" t="s">
        <v>829</v>
      </c>
      <c r="C115" s="62" t="s">
        <v>827</v>
      </c>
      <c r="D115" s="62" t="s">
        <v>238</v>
      </c>
      <c r="E115" s="60" t="s">
        <v>157</v>
      </c>
      <c r="F115" s="60" t="s">
        <v>87</v>
      </c>
      <c r="G115" s="60" t="s">
        <v>99</v>
      </c>
      <c r="H115" s="60" t="s">
        <v>707</v>
      </c>
      <c r="I115" s="60" t="s">
        <v>90</v>
      </c>
      <c r="J115" s="60" t="s">
        <v>3</v>
      </c>
      <c r="K115" s="60" t="s">
        <v>3</v>
      </c>
      <c r="L115" s="60" t="s">
        <v>87</v>
      </c>
      <c r="M115" s="60">
        <v>6</v>
      </c>
      <c r="N115" s="60" t="s">
        <v>87</v>
      </c>
      <c r="O115" s="60">
        <v>4</v>
      </c>
      <c r="P115" s="60" t="s">
        <v>754</v>
      </c>
      <c r="Q115" s="60" t="s">
        <v>24</v>
      </c>
      <c r="R115" s="60" t="s">
        <v>21</v>
      </c>
      <c r="S115" s="60" t="s">
        <v>38</v>
      </c>
      <c r="T115" s="60" t="s">
        <v>94</v>
      </c>
      <c r="U115" s="60" t="s">
        <v>90</v>
      </c>
      <c r="V115" s="60" t="s">
        <v>94</v>
      </c>
      <c r="W115" s="60" t="s">
        <v>90</v>
      </c>
      <c r="X115" s="63" t="s">
        <v>95</v>
      </c>
    </row>
    <row r="116" spans="1:24">
      <c r="A116" s="60">
        <v>317</v>
      </c>
      <c r="B116" s="61" t="s">
        <v>830</v>
      </c>
      <c r="C116" s="62" t="s">
        <v>831</v>
      </c>
      <c r="D116" s="62" t="s">
        <v>832</v>
      </c>
      <c r="E116" s="60" t="s">
        <v>50</v>
      </c>
      <c r="F116" s="60" t="s">
        <v>87</v>
      </c>
      <c r="G116" s="60" t="s">
        <v>142</v>
      </c>
      <c r="H116" s="60" t="s">
        <v>100</v>
      </c>
      <c r="I116" s="60" t="s">
        <v>90</v>
      </c>
      <c r="J116" s="60" t="s">
        <v>2</v>
      </c>
      <c r="K116" s="60" t="s">
        <v>2</v>
      </c>
      <c r="L116" s="60">
        <v>151</v>
      </c>
      <c r="M116" s="60">
        <v>7</v>
      </c>
      <c r="N116" s="60">
        <v>5</v>
      </c>
      <c r="O116" s="60" t="s">
        <v>166</v>
      </c>
      <c r="P116" s="60" t="s">
        <v>288</v>
      </c>
      <c r="Q116" s="60" t="s">
        <v>22</v>
      </c>
      <c r="R116" s="60" t="s">
        <v>92</v>
      </c>
      <c r="S116" s="60" t="s">
        <v>92</v>
      </c>
      <c r="T116" s="60" t="s">
        <v>94</v>
      </c>
      <c r="U116" s="60" t="s">
        <v>90</v>
      </c>
      <c r="V116" s="60" t="s">
        <v>92</v>
      </c>
      <c r="W116" s="60" t="s">
        <v>90</v>
      </c>
      <c r="X116" s="63" t="s">
        <v>95</v>
      </c>
    </row>
    <row r="117" spans="1:24">
      <c r="A117" s="60">
        <v>945</v>
      </c>
      <c r="B117" s="61" t="s">
        <v>215</v>
      </c>
      <c r="C117" s="62" t="s">
        <v>216</v>
      </c>
      <c r="D117" s="62" t="s">
        <v>217</v>
      </c>
      <c r="E117" s="60" t="s">
        <v>146</v>
      </c>
      <c r="F117" s="60" t="s">
        <v>170</v>
      </c>
      <c r="G117" s="60" t="s">
        <v>270</v>
      </c>
      <c r="H117" s="60" t="s">
        <v>100</v>
      </c>
      <c r="I117" s="60" t="s">
        <v>90</v>
      </c>
      <c r="J117" s="60" t="s">
        <v>3</v>
      </c>
      <c r="K117" s="60" t="s">
        <v>3</v>
      </c>
      <c r="L117" s="60">
        <v>200</v>
      </c>
      <c r="M117" s="60">
        <v>100</v>
      </c>
      <c r="N117" s="60">
        <v>1</v>
      </c>
      <c r="O117" s="60">
        <v>1</v>
      </c>
      <c r="P117" s="60" t="s">
        <v>255</v>
      </c>
      <c r="Q117" s="60" t="s">
        <v>92</v>
      </c>
      <c r="R117" s="60" t="s">
        <v>20</v>
      </c>
      <c r="S117" s="60" t="s">
        <v>38</v>
      </c>
      <c r="T117" s="60" t="s">
        <v>94</v>
      </c>
      <c r="U117" s="60" t="s">
        <v>90</v>
      </c>
      <c r="V117" s="60" t="s">
        <v>94</v>
      </c>
      <c r="W117" s="60" t="s">
        <v>90</v>
      </c>
      <c r="X117" s="63" t="s">
        <v>95</v>
      </c>
    </row>
    <row r="118" spans="1:24">
      <c r="A118" s="60">
        <v>17</v>
      </c>
      <c r="B118" s="61" t="s">
        <v>220</v>
      </c>
      <c r="C118" s="62" t="s">
        <v>216</v>
      </c>
      <c r="D118" s="62" t="s">
        <v>221</v>
      </c>
      <c r="E118" s="60" t="s">
        <v>178</v>
      </c>
      <c r="F118" s="60" t="s">
        <v>87</v>
      </c>
      <c r="G118" s="60" t="s">
        <v>182</v>
      </c>
      <c r="H118" s="60" t="s">
        <v>100</v>
      </c>
      <c r="I118" s="60" t="s">
        <v>90</v>
      </c>
      <c r="J118" s="60" t="s">
        <v>3</v>
      </c>
      <c r="K118" s="60" t="s">
        <v>3</v>
      </c>
      <c r="L118" s="60">
        <v>192</v>
      </c>
      <c r="M118" s="60" t="s">
        <v>87</v>
      </c>
      <c r="N118" s="60">
        <v>12</v>
      </c>
      <c r="O118" s="60" t="s">
        <v>87</v>
      </c>
      <c r="P118" s="60">
        <v>12</v>
      </c>
      <c r="Q118" s="60" t="s">
        <v>22</v>
      </c>
      <c r="R118" s="60" t="s">
        <v>20</v>
      </c>
      <c r="S118" s="60" t="s">
        <v>3</v>
      </c>
      <c r="T118" s="60" t="s">
        <v>94</v>
      </c>
      <c r="U118" s="60" t="s">
        <v>90</v>
      </c>
      <c r="V118" s="60" t="s">
        <v>92</v>
      </c>
      <c r="W118" s="60" t="s">
        <v>93</v>
      </c>
      <c r="X118" s="63" t="s">
        <v>95</v>
      </c>
    </row>
    <row r="119" spans="1:24">
      <c r="A119" s="60">
        <v>804</v>
      </c>
      <c r="B119" s="61" t="s">
        <v>833</v>
      </c>
      <c r="C119" s="62" t="s">
        <v>834</v>
      </c>
      <c r="D119" s="62" t="s">
        <v>835</v>
      </c>
      <c r="E119" s="60" t="s">
        <v>318</v>
      </c>
      <c r="F119" s="60" t="s">
        <v>87</v>
      </c>
      <c r="G119" s="60" t="s">
        <v>799</v>
      </c>
      <c r="H119" s="60" t="s">
        <v>707</v>
      </c>
      <c r="I119" s="60" t="s">
        <v>101</v>
      </c>
      <c r="J119" s="60" t="s">
        <v>3</v>
      </c>
      <c r="K119" s="60" t="s">
        <v>3</v>
      </c>
      <c r="L119" s="60" t="s">
        <v>87</v>
      </c>
      <c r="M119" s="60">
        <v>28</v>
      </c>
      <c r="N119" s="60" t="s">
        <v>87</v>
      </c>
      <c r="O119" s="60">
        <v>4</v>
      </c>
      <c r="P119" s="60" t="s">
        <v>754</v>
      </c>
      <c r="Q119" s="60" t="s">
        <v>22</v>
      </c>
      <c r="R119" s="60" t="s">
        <v>20</v>
      </c>
      <c r="S119" s="60" t="s">
        <v>37</v>
      </c>
      <c r="T119" s="60" t="s">
        <v>94</v>
      </c>
      <c r="U119" s="60" t="s">
        <v>108</v>
      </c>
      <c r="V119" s="60" t="s">
        <v>92</v>
      </c>
      <c r="W119" s="60" t="s">
        <v>101</v>
      </c>
      <c r="X119" s="63" t="s">
        <v>102</v>
      </c>
    </row>
    <row r="120" spans="1:24">
      <c r="A120" s="60">
        <v>566</v>
      </c>
      <c r="B120" s="61" t="s">
        <v>222</v>
      </c>
      <c r="C120" s="62" t="s">
        <v>223</v>
      </c>
      <c r="D120" s="62" t="s">
        <v>224</v>
      </c>
      <c r="E120" s="60" t="s">
        <v>128</v>
      </c>
      <c r="F120" s="60" t="s">
        <v>87</v>
      </c>
      <c r="G120" s="60" t="s">
        <v>117</v>
      </c>
      <c r="H120" s="60" t="s">
        <v>89</v>
      </c>
      <c r="I120" s="60" t="s">
        <v>101</v>
      </c>
      <c r="J120" s="60" t="s">
        <v>3</v>
      </c>
      <c r="K120" s="60" t="s">
        <v>3</v>
      </c>
      <c r="L120" s="60">
        <v>5</v>
      </c>
      <c r="M120" s="60">
        <v>31</v>
      </c>
      <c r="N120" s="60">
        <v>4</v>
      </c>
      <c r="O120" s="60" t="s">
        <v>166</v>
      </c>
      <c r="P120" s="60" t="s">
        <v>167</v>
      </c>
      <c r="Q120" s="60" t="s">
        <v>19</v>
      </c>
      <c r="R120" s="60" t="s">
        <v>21</v>
      </c>
      <c r="S120" s="60" t="s">
        <v>92</v>
      </c>
      <c r="T120" s="60" t="s">
        <v>92</v>
      </c>
      <c r="U120" s="60" t="s">
        <v>108</v>
      </c>
      <c r="V120" s="60" t="s">
        <v>92</v>
      </c>
      <c r="W120" s="60" t="s">
        <v>90</v>
      </c>
      <c r="X120" s="63" t="s">
        <v>102</v>
      </c>
    </row>
    <row r="121" spans="1:24">
      <c r="A121" s="60">
        <v>807</v>
      </c>
      <c r="B121" s="61" t="s">
        <v>837</v>
      </c>
      <c r="C121" s="62" t="s">
        <v>838</v>
      </c>
      <c r="D121" s="62" t="s">
        <v>422</v>
      </c>
      <c r="E121" s="60" t="s">
        <v>127</v>
      </c>
      <c r="F121" s="60" t="s">
        <v>87</v>
      </c>
      <c r="G121" s="60" t="s">
        <v>182</v>
      </c>
      <c r="H121" s="60" t="s">
        <v>707</v>
      </c>
      <c r="I121" s="60" t="s">
        <v>90</v>
      </c>
      <c r="J121" s="60" t="s">
        <v>2</v>
      </c>
      <c r="K121" s="60" t="s">
        <v>2</v>
      </c>
      <c r="L121" s="60" t="s">
        <v>87</v>
      </c>
      <c r="M121" s="60">
        <v>56</v>
      </c>
      <c r="N121" s="60" t="s">
        <v>87</v>
      </c>
      <c r="O121" s="60">
        <v>13</v>
      </c>
      <c r="P121" s="60" t="s">
        <v>718</v>
      </c>
      <c r="Q121" s="60" t="s">
        <v>22</v>
      </c>
      <c r="R121" s="60" t="s">
        <v>21</v>
      </c>
      <c r="S121" s="60" t="s">
        <v>37</v>
      </c>
      <c r="T121" s="60" t="s">
        <v>94</v>
      </c>
      <c r="U121" s="60" t="s">
        <v>90</v>
      </c>
      <c r="V121" s="60" t="s">
        <v>92</v>
      </c>
      <c r="W121" s="60" t="s">
        <v>93</v>
      </c>
      <c r="X121" s="63" t="s">
        <v>95</v>
      </c>
    </row>
    <row r="122" spans="1:24">
      <c r="A122" s="60">
        <v>1088</v>
      </c>
      <c r="B122" s="61" t="s">
        <v>1315</v>
      </c>
      <c r="C122" s="62" t="s">
        <v>1316</v>
      </c>
      <c r="D122" s="62" t="s">
        <v>227</v>
      </c>
      <c r="E122" s="60" t="s">
        <v>249</v>
      </c>
      <c r="F122" s="60" t="s">
        <v>87</v>
      </c>
      <c r="G122" s="60" t="s">
        <v>107</v>
      </c>
      <c r="H122" s="60" t="s">
        <v>707</v>
      </c>
      <c r="I122" s="60" t="s">
        <v>101</v>
      </c>
      <c r="J122" s="60" t="s">
        <v>3</v>
      </c>
      <c r="K122" s="60" t="s">
        <v>3</v>
      </c>
      <c r="L122" s="60" t="s">
        <v>87</v>
      </c>
      <c r="M122" s="60">
        <v>16</v>
      </c>
      <c r="N122" s="60" t="s">
        <v>87</v>
      </c>
      <c r="O122" s="60">
        <v>11</v>
      </c>
      <c r="P122" s="60" t="s">
        <v>778</v>
      </c>
      <c r="Q122" s="60" t="s">
        <v>22</v>
      </c>
      <c r="R122" s="60" t="s">
        <v>92</v>
      </c>
      <c r="S122" s="60" t="s">
        <v>38</v>
      </c>
      <c r="T122" s="60" t="s">
        <v>94</v>
      </c>
      <c r="U122" s="60" t="s">
        <v>108</v>
      </c>
      <c r="V122" s="60" t="s">
        <v>92</v>
      </c>
      <c r="W122" s="60" t="s">
        <v>93</v>
      </c>
      <c r="X122" s="63" t="s">
        <v>102</v>
      </c>
    </row>
    <row r="123" spans="1:24">
      <c r="A123" s="60">
        <v>713</v>
      </c>
      <c r="B123" s="61" t="s">
        <v>840</v>
      </c>
      <c r="C123" s="62" t="s">
        <v>841</v>
      </c>
      <c r="D123" s="62" t="s">
        <v>214</v>
      </c>
      <c r="E123" s="60" t="s">
        <v>127</v>
      </c>
      <c r="F123" s="60" t="s">
        <v>87</v>
      </c>
      <c r="G123" s="60" t="s">
        <v>88</v>
      </c>
      <c r="H123" s="60" t="s">
        <v>707</v>
      </c>
      <c r="I123" s="60" t="s">
        <v>101</v>
      </c>
      <c r="J123" s="60" t="s">
        <v>2</v>
      </c>
      <c r="K123" s="60" t="s">
        <v>2</v>
      </c>
      <c r="L123" s="60" t="s">
        <v>87</v>
      </c>
      <c r="M123" s="60">
        <v>71</v>
      </c>
      <c r="N123" s="60" t="s">
        <v>87</v>
      </c>
      <c r="O123" s="60">
        <v>16</v>
      </c>
      <c r="P123" s="60" t="s">
        <v>726</v>
      </c>
      <c r="Q123" s="60" t="s">
        <v>22</v>
      </c>
      <c r="R123" s="60" t="s">
        <v>21</v>
      </c>
      <c r="S123" s="60" t="s">
        <v>92</v>
      </c>
      <c r="T123" s="60" t="s">
        <v>94</v>
      </c>
      <c r="U123" s="60" t="s">
        <v>108</v>
      </c>
      <c r="V123" s="60" t="s">
        <v>92</v>
      </c>
      <c r="W123" s="60" t="s">
        <v>93</v>
      </c>
      <c r="X123" s="63" t="s">
        <v>102</v>
      </c>
    </row>
    <row r="124" spans="1:24">
      <c r="A124" s="60">
        <v>1109</v>
      </c>
      <c r="B124" s="61" t="s">
        <v>842</v>
      </c>
      <c r="C124" s="62" t="s">
        <v>843</v>
      </c>
      <c r="D124" s="62" t="s">
        <v>407</v>
      </c>
      <c r="E124" s="60" t="s">
        <v>127</v>
      </c>
      <c r="F124" s="60" t="s">
        <v>87</v>
      </c>
      <c r="G124" s="60" t="s">
        <v>171</v>
      </c>
      <c r="H124" s="60" t="s">
        <v>707</v>
      </c>
      <c r="I124" s="60" t="s">
        <v>90</v>
      </c>
      <c r="J124" s="60" t="s">
        <v>3</v>
      </c>
      <c r="K124" s="60" t="s">
        <v>3</v>
      </c>
      <c r="L124" s="60" t="s">
        <v>87</v>
      </c>
      <c r="M124" s="60">
        <v>13</v>
      </c>
      <c r="N124" s="60" t="s">
        <v>87</v>
      </c>
      <c r="O124" s="60">
        <v>3</v>
      </c>
      <c r="P124" s="60" t="s">
        <v>727</v>
      </c>
      <c r="Q124" s="60" t="s">
        <v>22</v>
      </c>
      <c r="R124" s="60" t="s">
        <v>20</v>
      </c>
      <c r="S124" s="60" t="s">
        <v>3</v>
      </c>
      <c r="T124" s="60" t="s">
        <v>94</v>
      </c>
      <c r="U124" s="60" t="s">
        <v>93</v>
      </c>
      <c r="V124" s="60" t="s">
        <v>94</v>
      </c>
      <c r="W124" s="60" t="s">
        <v>93</v>
      </c>
      <c r="X124" s="63" t="s">
        <v>95</v>
      </c>
    </row>
    <row r="125" spans="1:24">
      <c r="A125" s="60">
        <v>1346</v>
      </c>
      <c r="B125" s="61" t="s">
        <v>1533</v>
      </c>
      <c r="C125" s="62" t="s">
        <v>229</v>
      </c>
      <c r="D125" s="62" t="s">
        <v>193</v>
      </c>
      <c r="E125" s="60" t="s">
        <v>266</v>
      </c>
      <c r="F125" s="60" t="s">
        <v>170</v>
      </c>
      <c r="G125" s="60" t="s">
        <v>107</v>
      </c>
      <c r="H125" s="60" t="s">
        <v>100</v>
      </c>
      <c r="I125" s="60" t="s">
        <v>90</v>
      </c>
      <c r="J125" s="60" t="s">
        <v>2</v>
      </c>
      <c r="K125" s="60" t="s">
        <v>2</v>
      </c>
      <c r="L125" s="60">
        <v>200</v>
      </c>
      <c r="M125" s="60">
        <v>100</v>
      </c>
      <c r="N125" s="60">
        <v>2</v>
      </c>
      <c r="O125" s="60">
        <v>1</v>
      </c>
      <c r="P125" s="60" t="s">
        <v>172</v>
      </c>
      <c r="Q125" s="60" t="s">
        <v>22</v>
      </c>
      <c r="R125" s="60" t="s">
        <v>20</v>
      </c>
      <c r="S125" s="60" t="s">
        <v>92</v>
      </c>
      <c r="T125" s="60" t="s">
        <v>94</v>
      </c>
      <c r="U125" s="60" t="s">
        <v>108</v>
      </c>
      <c r="V125" s="60" t="s">
        <v>94</v>
      </c>
      <c r="W125" s="60" t="s">
        <v>93</v>
      </c>
      <c r="X125" s="63" t="s">
        <v>95</v>
      </c>
    </row>
    <row r="126" spans="1:24">
      <c r="A126" s="60">
        <v>766</v>
      </c>
      <c r="B126" s="61" t="s">
        <v>228</v>
      </c>
      <c r="C126" s="62" t="s">
        <v>229</v>
      </c>
      <c r="D126" s="62" t="s">
        <v>230</v>
      </c>
      <c r="E126" s="60" t="s">
        <v>194</v>
      </c>
      <c r="F126" s="60" t="s">
        <v>87</v>
      </c>
      <c r="G126" s="60" t="s">
        <v>112</v>
      </c>
      <c r="H126" s="60" t="s">
        <v>100</v>
      </c>
      <c r="I126" s="60" t="s">
        <v>101</v>
      </c>
      <c r="J126" s="60" t="s">
        <v>2</v>
      </c>
      <c r="K126" s="60" t="s">
        <v>2</v>
      </c>
      <c r="L126" s="60">
        <v>208</v>
      </c>
      <c r="M126" s="60" t="s">
        <v>87</v>
      </c>
      <c r="N126" s="60">
        <v>15</v>
      </c>
      <c r="O126" s="60" t="s">
        <v>87</v>
      </c>
      <c r="P126" s="60">
        <v>15</v>
      </c>
      <c r="Q126" s="60" t="s">
        <v>19</v>
      </c>
      <c r="R126" s="60" t="s">
        <v>20</v>
      </c>
      <c r="S126" s="60" t="s">
        <v>37</v>
      </c>
      <c r="T126" s="60" t="s">
        <v>94</v>
      </c>
      <c r="U126" s="60" t="s">
        <v>108</v>
      </c>
      <c r="V126" s="60" t="s">
        <v>92</v>
      </c>
      <c r="W126" s="60" t="s">
        <v>93</v>
      </c>
      <c r="X126" s="63" t="s">
        <v>102</v>
      </c>
    </row>
    <row r="127" spans="1:24">
      <c r="A127" s="60">
        <v>980</v>
      </c>
      <c r="B127" s="61" t="s">
        <v>844</v>
      </c>
      <c r="C127" s="62" t="s">
        <v>845</v>
      </c>
      <c r="D127" s="62" t="s">
        <v>846</v>
      </c>
      <c r="E127" s="60" t="s">
        <v>218</v>
      </c>
      <c r="F127" s="60" t="s">
        <v>170</v>
      </c>
      <c r="G127" s="60" t="s">
        <v>182</v>
      </c>
      <c r="H127" s="60" t="s">
        <v>707</v>
      </c>
      <c r="I127" s="60" t="s">
        <v>90</v>
      </c>
      <c r="J127" s="60" t="s">
        <v>2</v>
      </c>
      <c r="K127" s="60" t="s">
        <v>2</v>
      </c>
      <c r="L127" s="60" t="s">
        <v>87</v>
      </c>
      <c r="M127" s="60">
        <v>100</v>
      </c>
      <c r="N127" s="60" t="s">
        <v>87</v>
      </c>
      <c r="O127" s="60">
        <v>2</v>
      </c>
      <c r="P127" s="60" t="s">
        <v>807</v>
      </c>
      <c r="Q127" s="60" t="s">
        <v>92</v>
      </c>
      <c r="R127" s="60" t="s">
        <v>21</v>
      </c>
      <c r="S127" s="60" t="s">
        <v>92</v>
      </c>
      <c r="T127" s="60" t="s">
        <v>92</v>
      </c>
      <c r="U127" s="60" t="s">
        <v>101</v>
      </c>
      <c r="V127" s="60" t="s">
        <v>92</v>
      </c>
      <c r="W127" s="60" t="s">
        <v>90</v>
      </c>
      <c r="X127" s="63" t="s">
        <v>95</v>
      </c>
    </row>
    <row r="128" spans="1:24">
      <c r="A128" s="60">
        <v>476</v>
      </c>
      <c r="B128" s="61" t="s">
        <v>848</v>
      </c>
      <c r="C128" s="62" t="s">
        <v>849</v>
      </c>
      <c r="D128" s="62" t="s">
        <v>153</v>
      </c>
      <c r="E128" s="60" t="s">
        <v>197</v>
      </c>
      <c r="F128" s="60" t="s">
        <v>87</v>
      </c>
      <c r="G128" s="60" t="s">
        <v>182</v>
      </c>
      <c r="H128" s="60" t="s">
        <v>89</v>
      </c>
      <c r="I128" s="60" t="s">
        <v>101</v>
      </c>
      <c r="J128" s="60" t="s">
        <v>2</v>
      </c>
      <c r="K128" s="60" t="s">
        <v>2</v>
      </c>
      <c r="L128" s="60">
        <v>69</v>
      </c>
      <c r="M128" s="60">
        <v>53</v>
      </c>
      <c r="N128" s="60">
        <v>5</v>
      </c>
      <c r="O128" s="60" t="s">
        <v>344</v>
      </c>
      <c r="P128" s="60" t="s">
        <v>1534</v>
      </c>
      <c r="Q128" s="60" t="s">
        <v>92</v>
      </c>
      <c r="R128" s="60" t="s">
        <v>20</v>
      </c>
      <c r="S128" s="60" t="s">
        <v>3</v>
      </c>
      <c r="T128" s="60" t="s">
        <v>94</v>
      </c>
      <c r="U128" s="60" t="s">
        <v>90</v>
      </c>
      <c r="V128" s="60" t="s">
        <v>92</v>
      </c>
      <c r="W128" s="60" t="s">
        <v>101</v>
      </c>
      <c r="X128" s="63" t="s">
        <v>102</v>
      </c>
    </row>
    <row r="129" spans="1:24">
      <c r="A129" s="60">
        <v>386</v>
      </c>
      <c r="B129" s="61" t="s">
        <v>231</v>
      </c>
      <c r="C129" s="62" t="s">
        <v>232</v>
      </c>
      <c r="D129" s="62" t="s">
        <v>227</v>
      </c>
      <c r="E129" s="60" t="s">
        <v>123</v>
      </c>
      <c r="F129" s="60" t="s">
        <v>87</v>
      </c>
      <c r="G129" s="60" t="s">
        <v>150</v>
      </c>
      <c r="H129" s="60" t="s">
        <v>100</v>
      </c>
      <c r="I129" s="60" t="s">
        <v>101</v>
      </c>
      <c r="J129" s="60" t="s">
        <v>2</v>
      </c>
      <c r="K129" s="60" t="s">
        <v>2</v>
      </c>
      <c r="L129" s="60">
        <v>69</v>
      </c>
      <c r="M129" s="60">
        <v>41</v>
      </c>
      <c r="N129" s="60">
        <v>8</v>
      </c>
      <c r="O129" s="60" t="s">
        <v>344</v>
      </c>
      <c r="P129" s="60" t="s">
        <v>198</v>
      </c>
      <c r="Q129" s="60" t="s">
        <v>22</v>
      </c>
      <c r="R129" s="60" t="s">
        <v>20</v>
      </c>
      <c r="S129" s="60" t="s">
        <v>37</v>
      </c>
      <c r="T129" s="60" t="s">
        <v>94</v>
      </c>
      <c r="U129" s="60" t="s">
        <v>108</v>
      </c>
      <c r="V129" s="60" t="s">
        <v>92</v>
      </c>
      <c r="W129" s="60" t="s">
        <v>101</v>
      </c>
      <c r="X129" s="63" t="s">
        <v>102</v>
      </c>
    </row>
    <row r="130" spans="1:24">
      <c r="A130" s="60">
        <v>706</v>
      </c>
      <c r="B130" s="61" t="s">
        <v>233</v>
      </c>
      <c r="C130" s="62" t="s">
        <v>234</v>
      </c>
      <c r="D130" s="62" t="s">
        <v>235</v>
      </c>
      <c r="E130" s="60" t="s">
        <v>328</v>
      </c>
      <c r="F130" s="60" t="s">
        <v>87</v>
      </c>
      <c r="G130" s="60" t="s">
        <v>1029</v>
      </c>
      <c r="H130" s="60" t="s">
        <v>100</v>
      </c>
      <c r="I130" s="60" t="s">
        <v>90</v>
      </c>
      <c r="J130" s="60" t="s">
        <v>2</v>
      </c>
      <c r="K130" s="60" t="s">
        <v>2</v>
      </c>
      <c r="L130" s="60">
        <v>193</v>
      </c>
      <c r="M130" s="60">
        <v>2</v>
      </c>
      <c r="N130" s="60">
        <v>8</v>
      </c>
      <c r="O130" s="60" t="s">
        <v>1535</v>
      </c>
      <c r="P130" s="60" t="s">
        <v>198</v>
      </c>
      <c r="Q130" s="60" t="s">
        <v>92</v>
      </c>
      <c r="R130" s="60" t="s">
        <v>20</v>
      </c>
      <c r="S130" s="60" t="s">
        <v>92</v>
      </c>
      <c r="T130" s="60" t="s">
        <v>94</v>
      </c>
      <c r="U130" s="60" t="s">
        <v>93</v>
      </c>
      <c r="V130" s="60" t="s">
        <v>92</v>
      </c>
      <c r="W130" s="60" t="s">
        <v>90</v>
      </c>
      <c r="X130" s="63" t="s">
        <v>95</v>
      </c>
    </row>
    <row r="131" spans="1:24">
      <c r="A131" s="60">
        <v>652</v>
      </c>
      <c r="B131" s="61" t="s">
        <v>1536</v>
      </c>
      <c r="C131" s="62" t="s">
        <v>1537</v>
      </c>
      <c r="D131" s="62" t="s">
        <v>674</v>
      </c>
      <c r="E131" s="60" t="s">
        <v>106</v>
      </c>
      <c r="F131" s="60" t="s">
        <v>87</v>
      </c>
      <c r="G131" s="60" t="s">
        <v>117</v>
      </c>
      <c r="H131" s="60" t="s">
        <v>100</v>
      </c>
      <c r="I131" s="60" t="s">
        <v>101</v>
      </c>
      <c r="J131" s="60" t="s">
        <v>3</v>
      </c>
      <c r="K131" s="60" t="s">
        <v>3</v>
      </c>
      <c r="L131" s="60">
        <v>59</v>
      </c>
      <c r="M131" s="60">
        <v>9</v>
      </c>
      <c r="N131" s="60">
        <v>7</v>
      </c>
      <c r="O131" s="60" t="s">
        <v>633</v>
      </c>
      <c r="P131" s="60" t="s">
        <v>552</v>
      </c>
      <c r="Q131" s="60" t="s">
        <v>22</v>
      </c>
      <c r="R131" s="60" t="s">
        <v>92</v>
      </c>
      <c r="S131" s="60" t="s">
        <v>92</v>
      </c>
      <c r="T131" s="60" t="s">
        <v>94</v>
      </c>
      <c r="U131" s="60" t="s">
        <v>93</v>
      </c>
      <c r="V131" s="60" t="s">
        <v>92</v>
      </c>
      <c r="W131" s="60" t="s">
        <v>93</v>
      </c>
      <c r="X131" s="63" t="s">
        <v>102</v>
      </c>
    </row>
    <row r="132" spans="1:24">
      <c r="A132" s="60">
        <v>568</v>
      </c>
      <c r="B132" s="61" t="s">
        <v>1317</v>
      </c>
      <c r="C132" s="62" t="s">
        <v>850</v>
      </c>
      <c r="D132" s="62" t="s">
        <v>206</v>
      </c>
      <c r="E132" s="60" t="s">
        <v>128</v>
      </c>
      <c r="F132" s="60" t="s">
        <v>87</v>
      </c>
      <c r="G132" s="60" t="s">
        <v>112</v>
      </c>
      <c r="H132" s="60" t="s">
        <v>707</v>
      </c>
      <c r="I132" s="60" t="s">
        <v>101</v>
      </c>
      <c r="J132" s="60" t="s">
        <v>2</v>
      </c>
      <c r="K132" s="60" t="s">
        <v>2</v>
      </c>
      <c r="L132" s="60" t="s">
        <v>87</v>
      </c>
      <c r="M132" s="60">
        <v>28</v>
      </c>
      <c r="N132" s="60" t="s">
        <v>87</v>
      </c>
      <c r="O132" s="60">
        <v>6</v>
      </c>
      <c r="P132" s="60" t="s">
        <v>740</v>
      </c>
      <c r="Q132" s="60" t="s">
        <v>92</v>
      </c>
      <c r="R132" s="60" t="s">
        <v>21</v>
      </c>
      <c r="S132" s="60" t="s">
        <v>92</v>
      </c>
      <c r="T132" s="60" t="s">
        <v>94</v>
      </c>
      <c r="U132" s="60" t="s">
        <v>108</v>
      </c>
      <c r="V132" s="60" t="s">
        <v>92</v>
      </c>
      <c r="W132" s="60" t="s">
        <v>90</v>
      </c>
      <c r="X132" s="63" t="s">
        <v>102</v>
      </c>
    </row>
    <row r="133" spans="1:24">
      <c r="A133" s="60">
        <v>924</v>
      </c>
      <c r="B133" s="61" t="s">
        <v>851</v>
      </c>
      <c r="C133" s="62" t="s">
        <v>852</v>
      </c>
      <c r="D133" s="62" t="s">
        <v>262</v>
      </c>
      <c r="E133" s="60" t="s">
        <v>127</v>
      </c>
      <c r="F133" s="60" t="s">
        <v>170</v>
      </c>
      <c r="G133" s="60" t="s">
        <v>164</v>
      </c>
      <c r="H133" s="60" t="s">
        <v>707</v>
      </c>
      <c r="I133" s="60" t="s">
        <v>101</v>
      </c>
      <c r="J133" s="60" t="s">
        <v>2</v>
      </c>
      <c r="K133" s="60" t="s">
        <v>2</v>
      </c>
      <c r="L133" s="60" t="s">
        <v>87</v>
      </c>
      <c r="M133" s="60">
        <v>100</v>
      </c>
      <c r="N133" s="60" t="s">
        <v>87</v>
      </c>
      <c r="O133" s="60">
        <v>1</v>
      </c>
      <c r="P133" s="60" t="s">
        <v>729</v>
      </c>
      <c r="Q133" s="60" t="s">
        <v>92</v>
      </c>
      <c r="R133" s="60" t="s">
        <v>21</v>
      </c>
      <c r="S133" s="60" t="s">
        <v>38</v>
      </c>
      <c r="T133" s="60" t="s">
        <v>94</v>
      </c>
      <c r="U133" s="60" t="s">
        <v>108</v>
      </c>
      <c r="V133" s="60" t="s">
        <v>94</v>
      </c>
      <c r="W133" s="60" t="s">
        <v>93</v>
      </c>
      <c r="X133" s="63" t="s">
        <v>102</v>
      </c>
    </row>
    <row r="134" spans="1:24">
      <c r="A134" s="60">
        <v>1305</v>
      </c>
      <c r="B134" s="61" t="s">
        <v>1538</v>
      </c>
      <c r="C134" s="62" t="s">
        <v>1539</v>
      </c>
      <c r="D134" s="62" t="s">
        <v>401</v>
      </c>
      <c r="E134" s="60" t="s">
        <v>318</v>
      </c>
      <c r="F134" s="60" t="s">
        <v>87</v>
      </c>
      <c r="G134" s="60" t="s">
        <v>112</v>
      </c>
      <c r="H134" s="60" t="s">
        <v>100</v>
      </c>
      <c r="I134" s="60" t="s">
        <v>101</v>
      </c>
      <c r="J134" s="60" t="s">
        <v>3</v>
      </c>
      <c r="K134" s="60" t="s">
        <v>3</v>
      </c>
      <c r="L134" s="60">
        <v>32</v>
      </c>
      <c r="M134" s="60" t="s">
        <v>87</v>
      </c>
      <c r="N134" s="60">
        <v>9</v>
      </c>
      <c r="O134" s="60" t="s">
        <v>87</v>
      </c>
      <c r="P134" s="60">
        <v>9</v>
      </c>
      <c r="Q134" s="60" t="s">
        <v>22</v>
      </c>
      <c r="R134" s="60" t="s">
        <v>92</v>
      </c>
      <c r="S134" s="60" t="s">
        <v>92</v>
      </c>
      <c r="T134" s="60" t="s">
        <v>94</v>
      </c>
      <c r="U134" s="60" t="s">
        <v>101</v>
      </c>
      <c r="V134" s="60" t="s">
        <v>92</v>
      </c>
      <c r="W134" s="60" t="s">
        <v>108</v>
      </c>
      <c r="X134" s="63" t="s">
        <v>102</v>
      </c>
    </row>
    <row r="135" spans="1:24">
      <c r="A135" s="60">
        <v>1119</v>
      </c>
      <c r="B135" s="61" t="s">
        <v>1540</v>
      </c>
      <c r="C135" s="62" t="s">
        <v>1541</v>
      </c>
      <c r="D135" s="62" t="s">
        <v>140</v>
      </c>
      <c r="E135" s="60" t="s">
        <v>186</v>
      </c>
      <c r="F135" s="60" t="s">
        <v>170</v>
      </c>
      <c r="G135" s="60" t="s">
        <v>99</v>
      </c>
      <c r="H135" s="60" t="s">
        <v>100</v>
      </c>
      <c r="I135" s="60" t="s">
        <v>101</v>
      </c>
      <c r="J135" s="60" t="s">
        <v>2</v>
      </c>
      <c r="K135" s="60" t="s">
        <v>2</v>
      </c>
      <c r="L135" s="60">
        <v>200</v>
      </c>
      <c r="M135" s="60">
        <v>100</v>
      </c>
      <c r="N135" s="60">
        <v>2</v>
      </c>
      <c r="O135" s="60">
        <v>1</v>
      </c>
      <c r="P135" s="60" t="s">
        <v>172</v>
      </c>
      <c r="Q135" s="60" t="s">
        <v>92</v>
      </c>
      <c r="R135" s="60" t="s">
        <v>20</v>
      </c>
      <c r="S135" s="60" t="s">
        <v>37</v>
      </c>
      <c r="T135" s="60" t="s">
        <v>94</v>
      </c>
      <c r="U135" s="60" t="s">
        <v>93</v>
      </c>
      <c r="V135" s="60" t="s">
        <v>94</v>
      </c>
      <c r="W135" s="60" t="s">
        <v>90</v>
      </c>
      <c r="X135" s="63" t="s">
        <v>102</v>
      </c>
    </row>
    <row r="136" spans="1:24">
      <c r="A136" s="60">
        <v>470</v>
      </c>
      <c r="B136" s="61" t="s">
        <v>1542</v>
      </c>
      <c r="C136" s="62" t="s">
        <v>1543</v>
      </c>
      <c r="D136" s="62" t="s">
        <v>1544</v>
      </c>
      <c r="E136" s="60" t="s">
        <v>197</v>
      </c>
      <c r="F136" s="60" t="s">
        <v>87</v>
      </c>
      <c r="G136" s="60" t="s">
        <v>117</v>
      </c>
      <c r="H136" s="60" t="s">
        <v>100</v>
      </c>
      <c r="I136" s="60" t="s">
        <v>101</v>
      </c>
      <c r="J136" s="60" t="s">
        <v>3</v>
      </c>
      <c r="K136" s="60" t="s">
        <v>3</v>
      </c>
      <c r="L136" s="60">
        <v>85</v>
      </c>
      <c r="M136" s="60" t="s">
        <v>87</v>
      </c>
      <c r="N136" s="60">
        <v>8</v>
      </c>
      <c r="O136" s="60" t="s">
        <v>87</v>
      </c>
      <c r="P136" s="60">
        <v>8</v>
      </c>
      <c r="Q136" s="60" t="s">
        <v>22</v>
      </c>
      <c r="R136" s="60" t="s">
        <v>20</v>
      </c>
      <c r="S136" s="60" t="s">
        <v>92</v>
      </c>
      <c r="T136" s="60" t="s">
        <v>94</v>
      </c>
      <c r="U136" s="60" t="s">
        <v>108</v>
      </c>
      <c r="V136" s="60" t="s">
        <v>92</v>
      </c>
      <c r="W136" s="60" t="s">
        <v>108</v>
      </c>
      <c r="X136" s="63" t="s">
        <v>102</v>
      </c>
    </row>
    <row r="137" spans="1:24">
      <c r="A137" s="60">
        <v>1229</v>
      </c>
      <c r="B137" s="61" t="s">
        <v>1318</v>
      </c>
      <c r="C137" s="62" t="s">
        <v>1319</v>
      </c>
      <c r="D137" s="62" t="s">
        <v>156</v>
      </c>
      <c r="E137" s="60" t="s">
        <v>106</v>
      </c>
      <c r="F137" s="60" t="s">
        <v>170</v>
      </c>
      <c r="G137" s="60" t="s">
        <v>182</v>
      </c>
      <c r="H137" s="60" t="s">
        <v>707</v>
      </c>
      <c r="I137" s="60" t="s">
        <v>90</v>
      </c>
      <c r="J137" s="60" t="s">
        <v>2</v>
      </c>
      <c r="K137" s="60" t="s">
        <v>2</v>
      </c>
      <c r="L137" s="60" t="s">
        <v>87</v>
      </c>
      <c r="M137" s="60">
        <v>100</v>
      </c>
      <c r="N137" s="60" t="s">
        <v>87</v>
      </c>
      <c r="O137" s="60">
        <v>2</v>
      </c>
      <c r="P137" s="60" t="s">
        <v>807</v>
      </c>
      <c r="Q137" s="60" t="s">
        <v>92</v>
      </c>
      <c r="R137" s="60" t="s">
        <v>92</v>
      </c>
      <c r="S137" s="60" t="s">
        <v>92</v>
      </c>
      <c r="T137" s="60" t="s">
        <v>92</v>
      </c>
      <c r="U137" s="60" t="s">
        <v>93</v>
      </c>
      <c r="V137" s="60" t="s">
        <v>92</v>
      </c>
      <c r="W137" s="60" t="s">
        <v>93</v>
      </c>
      <c r="X137" s="63" t="s">
        <v>95</v>
      </c>
    </row>
    <row r="138" spans="1:24">
      <c r="A138" s="60">
        <v>1141</v>
      </c>
      <c r="B138" s="61" t="s">
        <v>1545</v>
      </c>
      <c r="C138" s="62" t="s">
        <v>1546</v>
      </c>
      <c r="D138" s="62" t="s">
        <v>248</v>
      </c>
      <c r="E138" s="60" t="s">
        <v>149</v>
      </c>
      <c r="F138" s="60" t="s">
        <v>170</v>
      </c>
      <c r="G138" s="60" t="s">
        <v>150</v>
      </c>
      <c r="H138" s="60" t="s">
        <v>707</v>
      </c>
      <c r="I138" s="60" t="s">
        <v>90</v>
      </c>
      <c r="J138" s="60" t="s">
        <v>2</v>
      </c>
      <c r="K138" s="60" t="s">
        <v>2</v>
      </c>
      <c r="L138" s="60" t="s">
        <v>87</v>
      </c>
      <c r="M138" s="60">
        <v>100</v>
      </c>
      <c r="N138" s="60" t="s">
        <v>87</v>
      </c>
      <c r="O138" s="60">
        <v>1</v>
      </c>
      <c r="P138" s="60" t="s">
        <v>729</v>
      </c>
      <c r="Q138" s="60" t="s">
        <v>92</v>
      </c>
      <c r="R138" s="60" t="s">
        <v>21</v>
      </c>
      <c r="S138" s="60" t="s">
        <v>38</v>
      </c>
      <c r="T138" s="60" t="s">
        <v>92</v>
      </c>
      <c r="U138" s="60" t="s">
        <v>101</v>
      </c>
      <c r="V138" s="60" t="s">
        <v>92</v>
      </c>
      <c r="W138" s="60" t="s">
        <v>93</v>
      </c>
      <c r="X138" s="63" t="s">
        <v>95</v>
      </c>
    </row>
    <row r="139" spans="1:24">
      <c r="A139" s="60">
        <v>1263</v>
      </c>
      <c r="B139" s="61" t="s">
        <v>236</v>
      </c>
      <c r="C139" s="62" t="s">
        <v>237</v>
      </c>
      <c r="D139" s="62" t="s">
        <v>238</v>
      </c>
      <c r="E139" s="60" t="s">
        <v>226</v>
      </c>
      <c r="F139" s="60" t="s">
        <v>170</v>
      </c>
      <c r="G139" s="60" t="s">
        <v>158</v>
      </c>
      <c r="H139" s="60" t="s">
        <v>100</v>
      </c>
      <c r="I139" s="60" t="s">
        <v>90</v>
      </c>
      <c r="J139" s="60" t="s">
        <v>2</v>
      </c>
      <c r="K139" s="60" t="s">
        <v>2</v>
      </c>
      <c r="L139" s="60">
        <v>200</v>
      </c>
      <c r="M139" s="60">
        <v>100</v>
      </c>
      <c r="N139" s="60">
        <v>1</v>
      </c>
      <c r="O139" s="60">
        <v>1</v>
      </c>
      <c r="P139" s="60" t="s">
        <v>255</v>
      </c>
      <c r="Q139" s="60" t="s">
        <v>92</v>
      </c>
      <c r="R139" s="60" t="s">
        <v>92</v>
      </c>
      <c r="S139" s="60" t="s">
        <v>3</v>
      </c>
      <c r="T139" s="60" t="s">
        <v>94</v>
      </c>
      <c r="U139" s="60" t="s">
        <v>93</v>
      </c>
      <c r="V139" s="60" t="s">
        <v>94</v>
      </c>
      <c r="W139" s="60" t="s">
        <v>93</v>
      </c>
      <c r="X139" s="63" t="s">
        <v>95</v>
      </c>
    </row>
    <row r="140" spans="1:24">
      <c r="A140" s="60">
        <v>649</v>
      </c>
      <c r="B140" s="61" t="s">
        <v>239</v>
      </c>
      <c r="C140" s="62" t="s">
        <v>240</v>
      </c>
      <c r="D140" s="62" t="s">
        <v>241</v>
      </c>
      <c r="E140" s="60" t="s">
        <v>106</v>
      </c>
      <c r="F140" s="60" t="s">
        <v>87</v>
      </c>
      <c r="G140" s="60" t="s">
        <v>117</v>
      </c>
      <c r="H140" s="60" t="s">
        <v>100</v>
      </c>
      <c r="I140" s="60" t="s">
        <v>101</v>
      </c>
      <c r="J140" s="60" t="s">
        <v>2</v>
      </c>
      <c r="K140" s="60" t="s">
        <v>2</v>
      </c>
      <c r="L140" s="60">
        <v>66</v>
      </c>
      <c r="M140" s="60">
        <v>4</v>
      </c>
      <c r="N140" s="60">
        <v>5</v>
      </c>
      <c r="O140" s="60" t="s">
        <v>166</v>
      </c>
      <c r="P140" s="60" t="s">
        <v>288</v>
      </c>
      <c r="Q140" s="60" t="s">
        <v>92</v>
      </c>
      <c r="R140" s="60" t="s">
        <v>21</v>
      </c>
      <c r="S140" s="60" t="s">
        <v>3</v>
      </c>
      <c r="T140" s="60" t="s">
        <v>94</v>
      </c>
      <c r="U140" s="60" t="s">
        <v>108</v>
      </c>
      <c r="V140" s="60" t="s">
        <v>92</v>
      </c>
      <c r="W140" s="60" t="s">
        <v>101</v>
      </c>
      <c r="X140" s="63" t="s">
        <v>102</v>
      </c>
    </row>
    <row r="141" spans="1:24">
      <c r="A141" s="60">
        <v>1036</v>
      </c>
      <c r="B141" s="61" t="s">
        <v>1547</v>
      </c>
      <c r="C141" s="62" t="s">
        <v>1548</v>
      </c>
      <c r="D141" s="62" t="s">
        <v>1148</v>
      </c>
      <c r="E141" s="60" t="s">
        <v>408</v>
      </c>
      <c r="F141" s="60" t="s">
        <v>170</v>
      </c>
      <c r="G141" s="60" t="s">
        <v>99</v>
      </c>
      <c r="H141" s="60" t="s">
        <v>707</v>
      </c>
      <c r="I141" s="60" t="s">
        <v>90</v>
      </c>
      <c r="J141" s="60" t="s">
        <v>2</v>
      </c>
      <c r="K141" s="60" t="s">
        <v>2</v>
      </c>
      <c r="L141" s="60" t="s">
        <v>87</v>
      </c>
      <c r="M141" s="60">
        <v>100</v>
      </c>
      <c r="N141" s="60" t="s">
        <v>87</v>
      </c>
      <c r="O141" s="60">
        <v>2</v>
      </c>
      <c r="P141" s="60" t="s">
        <v>807</v>
      </c>
      <c r="Q141" s="60" t="s">
        <v>19</v>
      </c>
      <c r="R141" s="60" t="s">
        <v>20</v>
      </c>
      <c r="S141" s="60" t="s">
        <v>38</v>
      </c>
      <c r="T141" s="60" t="s">
        <v>94</v>
      </c>
      <c r="U141" s="60" t="s">
        <v>90</v>
      </c>
      <c r="V141" s="60" t="s">
        <v>94</v>
      </c>
      <c r="W141" s="60" t="s">
        <v>90</v>
      </c>
      <c r="X141" s="63" t="s">
        <v>95</v>
      </c>
    </row>
    <row r="142" spans="1:24">
      <c r="A142" s="60">
        <v>263</v>
      </c>
      <c r="B142" s="61" t="s">
        <v>854</v>
      </c>
      <c r="C142" s="62" t="s">
        <v>855</v>
      </c>
      <c r="D142" s="62" t="s">
        <v>856</v>
      </c>
      <c r="E142" s="60" t="s">
        <v>127</v>
      </c>
      <c r="F142" s="60" t="s">
        <v>87</v>
      </c>
      <c r="G142" s="60" t="s">
        <v>376</v>
      </c>
      <c r="H142" s="60" t="s">
        <v>707</v>
      </c>
      <c r="I142" s="60" t="s">
        <v>101</v>
      </c>
      <c r="J142" s="60" t="s">
        <v>3</v>
      </c>
      <c r="K142" s="60" t="s">
        <v>3</v>
      </c>
      <c r="L142" s="60" t="s">
        <v>87</v>
      </c>
      <c r="M142" s="60">
        <v>64</v>
      </c>
      <c r="N142" s="60" t="s">
        <v>87</v>
      </c>
      <c r="O142" s="60">
        <v>12</v>
      </c>
      <c r="P142" s="60" t="s">
        <v>782</v>
      </c>
      <c r="Q142" s="60" t="s">
        <v>22</v>
      </c>
      <c r="R142" s="60" t="s">
        <v>92</v>
      </c>
      <c r="S142" s="60" t="s">
        <v>38</v>
      </c>
      <c r="T142" s="60" t="s">
        <v>94</v>
      </c>
      <c r="U142" s="60" t="s">
        <v>101</v>
      </c>
      <c r="V142" s="60" t="s">
        <v>92</v>
      </c>
      <c r="W142" s="60" t="s">
        <v>93</v>
      </c>
      <c r="X142" s="63" t="s">
        <v>102</v>
      </c>
    </row>
    <row r="143" spans="1:24">
      <c r="A143" s="60">
        <v>1056</v>
      </c>
      <c r="B143" s="61" t="s">
        <v>1320</v>
      </c>
      <c r="C143" s="62" t="s">
        <v>1321</v>
      </c>
      <c r="D143" s="62" t="s">
        <v>749</v>
      </c>
      <c r="E143" s="60" t="s">
        <v>127</v>
      </c>
      <c r="F143" s="60" t="s">
        <v>87</v>
      </c>
      <c r="G143" s="60" t="s">
        <v>117</v>
      </c>
      <c r="H143" s="60" t="s">
        <v>707</v>
      </c>
      <c r="I143" s="60" t="s">
        <v>90</v>
      </c>
      <c r="J143" s="60" t="s">
        <v>3</v>
      </c>
      <c r="K143" s="60" t="s">
        <v>3</v>
      </c>
      <c r="L143" s="60" t="s">
        <v>87</v>
      </c>
      <c r="M143" s="60">
        <v>16</v>
      </c>
      <c r="N143" s="60" t="s">
        <v>87</v>
      </c>
      <c r="O143" s="60">
        <v>4</v>
      </c>
      <c r="P143" s="60" t="s">
        <v>754</v>
      </c>
      <c r="Q143" s="60" t="s">
        <v>92</v>
      </c>
      <c r="R143" s="60" t="s">
        <v>21</v>
      </c>
      <c r="S143" s="60" t="s">
        <v>23</v>
      </c>
      <c r="T143" s="60" t="s">
        <v>94</v>
      </c>
      <c r="U143" s="60" t="s">
        <v>108</v>
      </c>
      <c r="V143" s="60" t="s">
        <v>94</v>
      </c>
      <c r="W143" s="60" t="s">
        <v>93</v>
      </c>
      <c r="X143" s="63" t="s">
        <v>95</v>
      </c>
    </row>
    <row r="144" spans="1:24">
      <c r="A144" s="60">
        <v>681</v>
      </c>
      <c r="B144" s="61" t="s">
        <v>1549</v>
      </c>
      <c r="C144" s="62" t="s">
        <v>1550</v>
      </c>
      <c r="D144" s="62" t="s">
        <v>214</v>
      </c>
      <c r="E144" s="60" t="s">
        <v>42</v>
      </c>
      <c r="F144" s="60" t="s">
        <v>87</v>
      </c>
      <c r="G144" s="60" t="s">
        <v>117</v>
      </c>
      <c r="H144" s="60" t="s">
        <v>100</v>
      </c>
      <c r="I144" s="60" t="s">
        <v>101</v>
      </c>
      <c r="J144" s="60" t="s">
        <v>2</v>
      </c>
      <c r="K144" s="60" t="s">
        <v>2</v>
      </c>
      <c r="L144" s="60">
        <v>32</v>
      </c>
      <c r="M144" s="60">
        <v>11</v>
      </c>
      <c r="N144" s="60">
        <v>4</v>
      </c>
      <c r="O144" s="60" t="s">
        <v>118</v>
      </c>
      <c r="P144" s="60" t="s">
        <v>174</v>
      </c>
      <c r="Q144" s="60" t="s">
        <v>92</v>
      </c>
      <c r="R144" s="60" t="s">
        <v>21</v>
      </c>
      <c r="S144" s="60" t="s">
        <v>92</v>
      </c>
      <c r="T144" s="60" t="s">
        <v>94</v>
      </c>
      <c r="U144" s="60" t="s">
        <v>93</v>
      </c>
      <c r="V144" s="60" t="s">
        <v>92</v>
      </c>
      <c r="W144" s="60" t="s">
        <v>108</v>
      </c>
      <c r="X144" s="63" t="s">
        <v>102</v>
      </c>
    </row>
    <row r="145" spans="1:24">
      <c r="A145" s="60">
        <v>118</v>
      </c>
      <c r="B145" s="61" t="s">
        <v>1214</v>
      </c>
      <c r="C145" s="62" t="s">
        <v>1215</v>
      </c>
      <c r="D145" s="62" t="s">
        <v>331</v>
      </c>
      <c r="E145" s="60" t="s">
        <v>146</v>
      </c>
      <c r="F145" s="60" t="s">
        <v>87</v>
      </c>
      <c r="G145" s="60" t="s">
        <v>107</v>
      </c>
      <c r="H145" s="60" t="s">
        <v>707</v>
      </c>
      <c r="I145" s="60" t="s">
        <v>90</v>
      </c>
      <c r="J145" s="60" t="s">
        <v>3</v>
      </c>
      <c r="K145" s="60" t="s">
        <v>3</v>
      </c>
      <c r="L145" s="60" t="s">
        <v>87</v>
      </c>
      <c r="M145" s="60">
        <v>18</v>
      </c>
      <c r="N145" s="60" t="s">
        <v>87</v>
      </c>
      <c r="O145" s="60">
        <v>7</v>
      </c>
      <c r="P145" s="60" t="s">
        <v>722</v>
      </c>
      <c r="Q145" s="60" t="s">
        <v>22</v>
      </c>
      <c r="R145" s="60" t="s">
        <v>21</v>
      </c>
      <c r="S145" s="60" t="s">
        <v>37</v>
      </c>
      <c r="T145" s="60" t="s">
        <v>94</v>
      </c>
      <c r="U145" s="60" t="s">
        <v>93</v>
      </c>
      <c r="V145" s="60" t="s">
        <v>92</v>
      </c>
      <c r="W145" s="60" t="s">
        <v>93</v>
      </c>
      <c r="X145" s="63" t="s">
        <v>95</v>
      </c>
    </row>
    <row r="146" spans="1:24">
      <c r="A146" s="60">
        <v>197</v>
      </c>
      <c r="B146" s="61" t="s">
        <v>242</v>
      </c>
      <c r="C146" s="62" t="s">
        <v>243</v>
      </c>
      <c r="D146" s="62" t="s">
        <v>244</v>
      </c>
      <c r="E146" s="60" t="s">
        <v>127</v>
      </c>
      <c r="F146" s="60" t="s">
        <v>87</v>
      </c>
      <c r="G146" s="60" t="s">
        <v>182</v>
      </c>
      <c r="H146" s="60" t="s">
        <v>100</v>
      </c>
      <c r="I146" s="60" t="s">
        <v>101</v>
      </c>
      <c r="J146" s="60" t="s">
        <v>2</v>
      </c>
      <c r="K146" s="60" t="s">
        <v>2</v>
      </c>
      <c r="L146" s="60">
        <v>212</v>
      </c>
      <c r="M146" s="60" t="s">
        <v>87</v>
      </c>
      <c r="N146" s="60">
        <v>10</v>
      </c>
      <c r="O146" s="60" t="s">
        <v>87</v>
      </c>
      <c r="P146" s="60">
        <v>10</v>
      </c>
      <c r="Q146" s="60" t="s">
        <v>22</v>
      </c>
      <c r="R146" s="60" t="s">
        <v>20</v>
      </c>
      <c r="S146" s="60" t="s">
        <v>92</v>
      </c>
      <c r="T146" s="60" t="s">
        <v>92</v>
      </c>
      <c r="U146" s="60" t="s">
        <v>93</v>
      </c>
      <c r="V146" s="60" t="s">
        <v>92</v>
      </c>
      <c r="W146" s="60" t="s">
        <v>101</v>
      </c>
      <c r="X146" s="63" t="s">
        <v>102</v>
      </c>
    </row>
    <row r="147" spans="1:24">
      <c r="A147" s="60">
        <v>505</v>
      </c>
      <c r="B147" s="61" t="s">
        <v>1551</v>
      </c>
      <c r="C147" s="62" t="s">
        <v>1552</v>
      </c>
      <c r="D147" s="62" t="s">
        <v>148</v>
      </c>
      <c r="E147" s="60" t="s">
        <v>149</v>
      </c>
      <c r="F147" s="60" t="s">
        <v>87</v>
      </c>
      <c r="G147" s="60" t="s">
        <v>150</v>
      </c>
      <c r="H147" s="60" t="s">
        <v>707</v>
      </c>
      <c r="I147" s="60" t="s">
        <v>90</v>
      </c>
      <c r="J147" s="60" t="s">
        <v>2</v>
      </c>
      <c r="K147" s="60" t="s">
        <v>2</v>
      </c>
      <c r="L147" s="60" t="s">
        <v>87</v>
      </c>
      <c r="M147" s="60">
        <v>35</v>
      </c>
      <c r="N147" s="60" t="s">
        <v>87</v>
      </c>
      <c r="O147" s="60">
        <v>6</v>
      </c>
      <c r="P147" s="60" t="s">
        <v>740</v>
      </c>
      <c r="Q147" s="60" t="s">
        <v>19</v>
      </c>
      <c r="R147" s="60" t="s">
        <v>21</v>
      </c>
      <c r="S147" s="60" t="s">
        <v>92</v>
      </c>
      <c r="T147" s="60" t="s">
        <v>94</v>
      </c>
      <c r="U147" s="60" t="s">
        <v>101</v>
      </c>
      <c r="V147" s="60" t="s">
        <v>94</v>
      </c>
      <c r="W147" s="60" t="s">
        <v>93</v>
      </c>
      <c r="X147" s="63" t="s">
        <v>95</v>
      </c>
    </row>
    <row r="148" spans="1:24">
      <c r="A148" s="60">
        <v>79</v>
      </c>
      <c r="B148" s="61" t="s">
        <v>246</v>
      </c>
      <c r="C148" s="62" t="s">
        <v>247</v>
      </c>
      <c r="D148" s="62" t="s">
        <v>248</v>
      </c>
      <c r="E148" s="60" t="s">
        <v>133</v>
      </c>
      <c r="F148" s="60" t="s">
        <v>87</v>
      </c>
      <c r="G148" s="60" t="s">
        <v>88</v>
      </c>
      <c r="H148" s="60" t="s">
        <v>100</v>
      </c>
      <c r="I148" s="60" t="s">
        <v>90</v>
      </c>
      <c r="J148" s="60" t="s">
        <v>3</v>
      </c>
      <c r="K148" s="60" t="s">
        <v>3</v>
      </c>
      <c r="L148" s="60">
        <v>178</v>
      </c>
      <c r="M148" s="60" t="s">
        <v>87</v>
      </c>
      <c r="N148" s="60">
        <v>3</v>
      </c>
      <c r="O148" s="60" t="s">
        <v>87</v>
      </c>
      <c r="P148" s="60">
        <v>3</v>
      </c>
      <c r="Q148" s="60" t="s">
        <v>92</v>
      </c>
      <c r="R148" s="60" t="s">
        <v>92</v>
      </c>
      <c r="S148" s="60" t="s">
        <v>92</v>
      </c>
      <c r="T148" s="60" t="s">
        <v>92</v>
      </c>
      <c r="U148" s="60" t="s">
        <v>108</v>
      </c>
      <c r="V148" s="60" t="s">
        <v>92</v>
      </c>
      <c r="W148" s="60" t="s">
        <v>93</v>
      </c>
      <c r="X148" s="63" t="s">
        <v>95</v>
      </c>
    </row>
    <row r="149" spans="1:24">
      <c r="A149" s="60">
        <v>1028</v>
      </c>
      <c r="B149" s="61" t="s">
        <v>1553</v>
      </c>
      <c r="C149" s="62" t="s">
        <v>1554</v>
      </c>
      <c r="D149" s="62" t="s">
        <v>331</v>
      </c>
      <c r="E149" s="60" t="s">
        <v>408</v>
      </c>
      <c r="F149" s="60" t="s">
        <v>170</v>
      </c>
      <c r="G149" s="60" t="s">
        <v>142</v>
      </c>
      <c r="H149" s="60" t="s">
        <v>707</v>
      </c>
      <c r="I149" s="60" t="s">
        <v>90</v>
      </c>
      <c r="J149" s="60" t="s">
        <v>2</v>
      </c>
      <c r="K149" s="60" t="s">
        <v>2</v>
      </c>
      <c r="L149" s="60" t="s">
        <v>87</v>
      </c>
      <c r="M149" s="60">
        <v>100</v>
      </c>
      <c r="N149" s="60" t="s">
        <v>87</v>
      </c>
      <c r="O149" s="60">
        <v>2</v>
      </c>
      <c r="P149" s="60" t="s">
        <v>807</v>
      </c>
      <c r="Q149" s="60" t="s">
        <v>22</v>
      </c>
      <c r="R149" s="60" t="s">
        <v>20</v>
      </c>
      <c r="S149" s="60" t="s">
        <v>92</v>
      </c>
      <c r="T149" s="60" t="s">
        <v>92</v>
      </c>
      <c r="U149" s="60" t="s">
        <v>101</v>
      </c>
      <c r="V149" s="60" t="s">
        <v>92</v>
      </c>
      <c r="W149" s="60" t="s">
        <v>93</v>
      </c>
      <c r="X149" s="63" t="s">
        <v>95</v>
      </c>
    </row>
    <row r="150" spans="1:24">
      <c r="A150" s="60">
        <v>682</v>
      </c>
      <c r="B150" s="61" t="s">
        <v>1555</v>
      </c>
      <c r="C150" s="62" t="s">
        <v>1554</v>
      </c>
      <c r="D150" s="62" t="s">
        <v>177</v>
      </c>
      <c r="E150" s="60" t="s">
        <v>42</v>
      </c>
      <c r="F150" s="60" t="s">
        <v>87</v>
      </c>
      <c r="G150" s="60" t="s">
        <v>147</v>
      </c>
      <c r="H150" s="60" t="s">
        <v>100</v>
      </c>
      <c r="I150" s="60" t="s">
        <v>90</v>
      </c>
      <c r="J150" s="60" t="s">
        <v>2</v>
      </c>
      <c r="K150" s="60" t="s">
        <v>2</v>
      </c>
      <c r="L150" s="60">
        <v>34</v>
      </c>
      <c r="M150" s="60" t="s">
        <v>87</v>
      </c>
      <c r="N150" s="60">
        <v>8</v>
      </c>
      <c r="O150" s="60" t="s">
        <v>87</v>
      </c>
      <c r="P150" s="60">
        <v>8</v>
      </c>
      <c r="Q150" s="60" t="s">
        <v>92</v>
      </c>
      <c r="R150" s="60" t="s">
        <v>21</v>
      </c>
      <c r="S150" s="60" t="s">
        <v>37</v>
      </c>
      <c r="T150" s="60" t="s">
        <v>94</v>
      </c>
      <c r="U150" s="60" t="s">
        <v>93</v>
      </c>
      <c r="V150" s="60" t="s">
        <v>94</v>
      </c>
      <c r="W150" s="60" t="s">
        <v>90</v>
      </c>
      <c r="X150" s="63" t="s">
        <v>95</v>
      </c>
    </row>
    <row r="151" spans="1:24">
      <c r="A151" s="60">
        <v>205</v>
      </c>
      <c r="B151" s="61" t="s">
        <v>250</v>
      </c>
      <c r="C151" s="62" t="s">
        <v>251</v>
      </c>
      <c r="D151" s="62" t="s">
        <v>252</v>
      </c>
      <c r="E151" s="60" t="s">
        <v>218</v>
      </c>
      <c r="F151" s="60" t="s">
        <v>87</v>
      </c>
      <c r="G151" s="60" t="s">
        <v>182</v>
      </c>
      <c r="H151" s="60" t="s">
        <v>707</v>
      </c>
      <c r="I151" s="60" t="s">
        <v>90</v>
      </c>
      <c r="J151" s="60" t="s">
        <v>2</v>
      </c>
      <c r="K151" s="60" t="s">
        <v>2</v>
      </c>
      <c r="L151" s="60" t="s">
        <v>87</v>
      </c>
      <c r="M151" s="60">
        <v>68</v>
      </c>
      <c r="N151" s="60" t="s">
        <v>87</v>
      </c>
      <c r="O151" s="60">
        <v>27</v>
      </c>
      <c r="P151" s="60" t="s">
        <v>1556</v>
      </c>
      <c r="Q151" s="60" t="s">
        <v>24</v>
      </c>
      <c r="R151" s="60" t="s">
        <v>92</v>
      </c>
      <c r="S151" s="60" t="s">
        <v>37</v>
      </c>
      <c r="T151" s="60" t="s">
        <v>94</v>
      </c>
      <c r="U151" s="60" t="s">
        <v>90</v>
      </c>
      <c r="V151" s="60" t="s">
        <v>94</v>
      </c>
      <c r="W151" s="60" t="s">
        <v>93</v>
      </c>
      <c r="X151" s="63" t="s">
        <v>95</v>
      </c>
    </row>
    <row r="152" spans="1:24">
      <c r="A152" s="60">
        <v>745</v>
      </c>
      <c r="B152" s="61" t="s">
        <v>1557</v>
      </c>
      <c r="C152" s="62" t="s">
        <v>1558</v>
      </c>
      <c r="D152" s="62" t="s">
        <v>353</v>
      </c>
      <c r="E152" s="60" t="s">
        <v>226</v>
      </c>
      <c r="F152" s="60" t="s">
        <v>87</v>
      </c>
      <c r="G152" s="60" t="s">
        <v>99</v>
      </c>
      <c r="H152" s="60" t="s">
        <v>707</v>
      </c>
      <c r="I152" s="60" t="s">
        <v>90</v>
      </c>
      <c r="J152" s="60" t="s">
        <v>71</v>
      </c>
      <c r="K152" s="60" t="s">
        <v>2</v>
      </c>
      <c r="L152" s="60" t="s">
        <v>87</v>
      </c>
      <c r="M152" s="60">
        <v>80</v>
      </c>
      <c r="N152" s="60" t="s">
        <v>87</v>
      </c>
      <c r="O152" s="60">
        <v>4</v>
      </c>
      <c r="P152" s="60" t="s">
        <v>754</v>
      </c>
      <c r="Q152" s="60" t="s">
        <v>22</v>
      </c>
      <c r="R152" s="60" t="s">
        <v>92</v>
      </c>
      <c r="S152" s="60" t="s">
        <v>92</v>
      </c>
      <c r="T152" s="60" t="s">
        <v>94</v>
      </c>
      <c r="U152" s="60" t="s">
        <v>108</v>
      </c>
      <c r="V152" s="60" t="s">
        <v>92</v>
      </c>
      <c r="W152" s="60" t="s">
        <v>90</v>
      </c>
      <c r="X152" s="63" t="s">
        <v>95</v>
      </c>
    </row>
    <row r="153" spans="1:24">
      <c r="A153" s="60">
        <v>587</v>
      </c>
      <c r="B153" s="61" t="s">
        <v>1559</v>
      </c>
      <c r="C153" s="62" t="s">
        <v>858</v>
      </c>
      <c r="D153" s="62" t="s">
        <v>253</v>
      </c>
      <c r="E153" s="60" t="s">
        <v>163</v>
      </c>
      <c r="F153" s="60" t="s">
        <v>87</v>
      </c>
      <c r="G153" s="60" t="s">
        <v>158</v>
      </c>
      <c r="H153" s="60" t="s">
        <v>100</v>
      </c>
      <c r="I153" s="60" t="s">
        <v>101</v>
      </c>
      <c r="J153" s="60" t="s">
        <v>3</v>
      </c>
      <c r="K153" s="60" t="s">
        <v>3</v>
      </c>
      <c r="L153" s="60">
        <v>149</v>
      </c>
      <c r="M153" s="60" t="s">
        <v>87</v>
      </c>
      <c r="N153" s="60">
        <v>8</v>
      </c>
      <c r="O153" s="60" t="s">
        <v>87</v>
      </c>
      <c r="P153" s="60">
        <v>8</v>
      </c>
      <c r="Q153" s="60" t="s">
        <v>22</v>
      </c>
      <c r="R153" s="60" t="s">
        <v>21</v>
      </c>
      <c r="S153" s="60" t="s">
        <v>92</v>
      </c>
      <c r="T153" s="60" t="s">
        <v>92</v>
      </c>
      <c r="U153" s="60" t="s">
        <v>108</v>
      </c>
      <c r="V153" s="60" t="s">
        <v>92</v>
      </c>
      <c r="W153" s="60" t="s">
        <v>93</v>
      </c>
      <c r="X153" s="63" t="s">
        <v>102</v>
      </c>
    </row>
    <row r="154" spans="1:24">
      <c r="A154" s="60">
        <v>466</v>
      </c>
      <c r="B154" s="61" t="s">
        <v>859</v>
      </c>
      <c r="C154" s="62" t="s">
        <v>858</v>
      </c>
      <c r="D154" s="62" t="s">
        <v>860</v>
      </c>
      <c r="E154" s="60" t="s">
        <v>197</v>
      </c>
      <c r="F154" s="60" t="s">
        <v>87</v>
      </c>
      <c r="G154" s="60" t="s">
        <v>150</v>
      </c>
      <c r="H154" s="60" t="s">
        <v>100</v>
      </c>
      <c r="I154" s="60" t="s">
        <v>101</v>
      </c>
      <c r="J154" s="60" t="s">
        <v>2</v>
      </c>
      <c r="K154" s="60" t="s">
        <v>2</v>
      </c>
      <c r="L154" s="60">
        <v>189</v>
      </c>
      <c r="M154" s="60" t="s">
        <v>87</v>
      </c>
      <c r="N154" s="60">
        <v>7</v>
      </c>
      <c r="O154" s="60" t="s">
        <v>87</v>
      </c>
      <c r="P154" s="60">
        <v>7</v>
      </c>
      <c r="Q154" s="60" t="s">
        <v>92</v>
      </c>
      <c r="R154" s="60" t="s">
        <v>92</v>
      </c>
      <c r="S154" s="60" t="s">
        <v>3</v>
      </c>
      <c r="T154" s="60" t="s">
        <v>92</v>
      </c>
      <c r="U154" s="60" t="s">
        <v>90</v>
      </c>
      <c r="V154" s="60" t="s">
        <v>92</v>
      </c>
      <c r="W154" s="60" t="s">
        <v>90</v>
      </c>
      <c r="X154" s="63" t="s">
        <v>102</v>
      </c>
    </row>
    <row r="155" spans="1:24">
      <c r="A155" s="60">
        <v>1348</v>
      </c>
      <c r="B155" s="61" t="s">
        <v>1560</v>
      </c>
      <c r="C155" s="62" t="s">
        <v>1561</v>
      </c>
      <c r="D155" s="62" t="s">
        <v>1562</v>
      </c>
      <c r="E155" s="60" t="s">
        <v>266</v>
      </c>
      <c r="F155" s="60" t="s">
        <v>170</v>
      </c>
      <c r="G155" s="60" t="s">
        <v>147</v>
      </c>
      <c r="H155" s="60" t="s">
        <v>707</v>
      </c>
      <c r="I155" s="60" t="s">
        <v>90</v>
      </c>
      <c r="J155" s="60" t="s">
        <v>2</v>
      </c>
      <c r="K155" s="60" t="s">
        <v>2</v>
      </c>
      <c r="L155" s="60" t="s">
        <v>87</v>
      </c>
      <c r="M155" s="60">
        <v>100</v>
      </c>
      <c r="N155" s="60" t="s">
        <v>87</v>
      </c>
      <c r="O155" s="60">
        <v>2</v>
      </c>
      <c r="P155" s="60" t="s">
        <v>807</v>
      </c>
      <c r="Q155" s="60" t="s">
        <v>24</v>
      </c>
      <c r="R155" s="60" t="s">
        <v>21</v>
      </c>
      <c r="S155" s="60" t="s">
        <v>38</v>
      </c>
      <c r="T155" s="60" t="s">
        <v>92</v>
      </c>
      <c r="U155" s="60" t="s">
        <v>101</v>
      </c>
      <c r="V155" s="60" t="s">
        <v>92</v>
      </c>
      <c r="W155" s="60" t="s">
        <v>93</v>
      </c>
      <c r="X155" s="63" t="s">
        <v>95</v>
      </c>
    </row>
    <row r="156" spans="1:24">
      <c r="A156" s="60">
        <v>1032</v>
      </c>
      <c r="B156" s="61" t="s">
        <v>1563</v>
      </c>
      <c r="C156" s="62" t="s">
        <v>1564</v>
      </c>
      <c r="D156" s="62" t="s">
        <v>110</v>
      </c>
      <c r="E156" s="60" t="s">
        <v>408</v>
      </c>
      <c r="F156" s="60" t="s">
        <v>87</v>
      </c>
      <c r="G156" s="60" t="s">
        <v>99</v>
      </c>
      <c r="H156" s="60" t="s">
        <v>707</v>
      </c>
      <c r="I156" s="60" t="s">
        <v>90</v>
      </c>
      <c r="J156" s="60" t="s">
        <v>2</v>
      </c>
      <c r="K156" s="60" t="s">
        <v>3</v>
      </c>
      <c r="L156" s="60" t="s">
        <v>87</v>
      </c>
      <c r="M156" s="60">
        <v>4</v>
      </c>
      <c r="N156" s="60" t="s">
        <v>87</v>
      </c>
      <c r="O156" s="60">
        <v>3</v>
      </c>
      <c r="P156" s="60" t="s">
        <v>727</v>
      </c>
      <c r="Q156" s="60" t="s">
        <v>92</v>
      </c>
      <c r="R156" s="60" t="s">
        <v>21</v>
      </c>
      <c r="S156" s="60" t="s">
        <v>38</v>
      </c>
      <c r="T156" s="60" t="s">
        <v>92</v>
      </c>
      <c r="U156" s="60" t="s">
        <v>101</v>
      </c>
      <c r="V156" s="60" t="s">
        <v>92</v>
      </c>
      <c r="W156" s="60" t="s">
        <v>93</v>
      </c>
      <c r="X156" s="63" t="s">
        <v>95</v>
      </c>
    </row>
    <row r="157" spans="1:24">
      <c r="A157" s="60">
        <v>962</v>
      </c>
      <c r="B157" s="61" t="s">
        <v>256</v>
      </c>
      <c r="C157" s="62" t="s">
        <v>257</v>
      </c>
      <c r="D157" s="62" t="s">
        <v>258</v>
      </c>
      <c r="E157" s="60" t="s">
        <v>157</v>
      </c>
      <c r="F157" s="60" t="s">
        <v>170</v>
      </c>
      <c r="G157" s="60" t="s">
        <v>142</v>
      </c>
      <c r="H157" s="60" t="s">
        <v>100</v>
      </c>
      <c r="I157" s="60" t="s">
        <v>90</v>
      </c>
      <c r="J157" s="60" t="s">
        <v>2</v>
      </c>
      <c r="K157" s="60" t="s">
        <v>2</v>
      </c>
      <c r="L157" s="60">
        <v>200</v>
      </c>
      <c r="M157" s="60">
        <v>100</v>
      </c>
      <c r="N157" s="60">
        <v>2</v>
      </c>
      <c r="O157" s="60">
        <v>1</v>
      </c>
      <c r="P157" s="60" t="s">
        <v>172</v>
      </c>
      <c r="Q157" s="60" t="s">
        <v>92</v>
      </c>
      <c r="R157" s="60" t="s">
        <v>21</v>
      </c>
      <c r="S157" s="60" t="s">
        <v>92</v>
      </c>
      <c r="T157" s="60" t="s">
        <v>94</v>
      </c>
      <c r="U157" s="60" t="s">
        <v>108</v>
      </c>
      <c r="V157" s="60" t="s">
        <v>92</v>
      </c>
      <c r="W157" s="60" t="s">
        <v>93</v>
      </c>
      <c r="X157" s="63" t="s">
        <v>95</v>
      </c>
    </row>
    <row r="158" spans="1:24">
      <c r="A158" s="60">
        <v>707</v>
      </c>
      <c r="B158" s="61" t="s">
        <v>1459</v>
      </c>
      <c r="C158" s="62" t="s">
        <v>1565</v>
      </c>
      <c r="D158" s="62" t="s">
        <v>654</v>
      </c>
      <c r="E158" s="60" t="s">
        <v>328</v>
      </c>
      <c r="F158" s="60" t="s">
        <v>87</v>
      </c>
      <c r="G158" s="60" t="s">
        <v>99</v>
      </c>
      <c r="H158" s="60" t="s">
        <v>100</v>
      </c>
      <c r="I158" s="60" t="s">
        <v>101</v>
      </c>
      <c r="J158" s="60" t="s">
        <v>3</v>
      </c>
      <c r="K158" s="60" t="s">
        <v>2</v>
      </c>
      <c r="L158" s="60">
        <v>191</v>
      </c>
      <c r="M158" s="60" t="s">
        <v>87</v>
      </c>
      <c r="N158" s="60">
        <v>15</v>
      </c>
      <c r="O158" s="60" t="s">
        <v>87</v>
      </c>
      <c r="P158" s="60">
        <v>15</v>
      </c>
      <c r="Q158" s="60" t="s">
        <v>24</v>
      </c>
      <c r="R158" s="60" t="s">
        <v>20</v>
      </c>
      <c r="S158" s="60" t="s">
        <v>92</v>
      </c>
      <c r="T158" s="60" t="s">
        <v>94</v>
      </c>
      <c r="U158" s="60" t="s">
        <v>101</v>
      </c>
      <c r="V158" s="60" t="s">
        <v>92</v>
      </c>
      <c r="W158" s="60" t="s">
        <v>108</v>
      </c>
      <c r="X158" s="63" t="s">
        <v>102</v>
      </c>
    </row>
    <row r="159" spans="1:24">
      <c r="A159" s="60">
        <v>450</v>
      </c>
      <c r="B159" s="61" t="s">
        <v>861</v>
      </c>
      <c r="C159" s="62" t="s">
        <v>862</v>
      </c>
      <c r="D159" s="62" t="s">
        <v>422</v>
      </c>
      <c r="E159" s="60" t="s">
        <v>186</v>
      </c>
      <c r="F159" s="60" t="s">
        <v>87</v>
      </c>
      <c r="G159" s="60" t="s">
        <v>142</v>
      </c>
      <c r="H159" s="60" t="s">
        <v>707</v>
      </c>
      <c r="I159" s="60" t="s">
        <v>101</v>
      </c>
      <c r="J159" s="60" t="s">
        <v>2</v>
      </c>
      <c r="K159" s="60" t="s">
        <v>2</v>
      </c>
      <c r="L159" s="60" t="s">
        <v>87</v>
      </c>
      <c r="M159" s="60">
        <v>30</v>
      </c>
      <c r="N159" s="60" t="s">
        <v>87</v>
      </c>
      <c r="O159" s="60">
        <v>5</v>
      </c>
      <c r="P159" s="60" t="s">
        <v>708</v>
      </c>
      <c r="Q159" s="60" t="s">
        <v>19</v>
      </c>
      <c r="R159" s="60" t="s">
        <v>21</v>
      </c>
      <c r="S159" s="60" t="s">
        <v>3</v>
      </c>
      <c r="T159" s="60" t="s">
        <v>94</v>
      </c>
      <c r="U159" s="60" t="s">
        <v>108</v>
      </c>
      <c r="V159" s="60" t="s">
        <v>92</v>
      </c>
      <c r="W159" s="60" t="s">
        <v>108</v>
      </c>
      <c r="X159" s="63" t="s">
        <v>102</v>
      </c>
    </row>
    <row r="160" spans="1:24">
      <c r="A160" s="60">
        <v>475</v>
      </c>
      <c r="B160" s="61" t="s">
        <v>259</v>
      </c>
      <c r="C160" s="62" t="s">
        <v>260</v>
      </c>
      <c r="D160" s="62" t="s">
        <v>261</v>
      </c>
      <c r="E160" s="60" t="s">
        <v>197</v>
      </c>
      <c r="F160" s="60" t="s">
        <v>87</v>
      </c>
      <c r="G160" s="60" t="s">
        <v>117</v>
      </c>
      <c r="H160" s="60" t="s">
        <v>89</v>
      </c>
      <c r="I160" s="60" t="s">
        <v>101</v>
      </c>
      <c r="J160" s="60" t="s">
        <v>2</v>
      </c>
      <c r="K160" s="60" t="s">
        <v>2</v>
      </c>
      <c r="L160" s="60">
        <v>5</v>
      </c>
      <c r="M160" s="60">
        <v>70</v>
      </c>
      <c r="N160" s="60">
        <v>6</v>
      </c>
      <c r="O160" s="60" t="s">
        <v>433</v>
      </c>
      <c r="P160" s="60" t="s">
        <v>1566</v>
      </c>
      <c r="Q160" s="60" t="s">
        <v>19</v>
      </c>
      <c r="R160" s="60" t="s">
        <v>21</v>
      </c>
      <c r="S160" s="60" t="s">
        <v>92</v>
      </c>
      <c r="T160" s="60" t="s">
        <v>94</v>
      </c>
      <c r="U160" s="60" t="s">
        <v>108</v>
      </c>
      <c r="V160" s="60" t="s">
        <v>92</v>
      </c>
      <c r="W160" s="60" t="s">
        <v>93</v>
      </c>
      <c r="X160" s="63" t="s">
        <v>102</v>
      </c>
    </row>
    <row r="161" spans="1:24">
      <c r="A161" s="60">
        <v>555</v>
      </c>
      <c r="B161" s="61" t="s">
        <v>1457</v>
      </c>
      <c r="C161" s="62" t="s">
        <v>1567</v>
      </c>
      <c r="D161" s="62" t="s">
        <v>753</v>
      </c>
      <c r="E161" s="60" t="s">
        <v>128</v>
      </c>
      <c r="F161" s="60" t="s">
        <v>87</v>
      </c>
      <c r="G161" s="60" t="s">
        <v>117</v>
      </c>
      <c r="H161" s="60" t="s">
        <v>100</v>
      </c>
      <c r="I161" s="60" t="s">
        <v>90</v>
      </c>
      <c r="J161" s="60" t="s">
        <v>2</v>
      </c>
      <c r="K161" s="60" t="s">
        <v>2</v>
      </c>
      <c r="L161" s="60">
        <v>185</v>
      </c>
      <c r="M161" s="60" t="s">
        <v>87</v>
      </c>
      <c r="N161" s="60">
        <v>6</v>
      </c>
      <c r="O161" s="60" t="s">
        <v>87</v>
      </c>
      <c r="P161" s="60">
        <v>6</v>
      </c>
      <c r="Q161" s="60" t="s">
        <v>22</v>
      </c>
      <c r="R161" s="60" t="s">
        <v>92</v>
      </c>
      <c r="S161" s="60" t="s">
        <v>92</v>
      </c>
      <c r="T161" s="60" t="s">
        <v>94</v>
      </c>
      <c r="U161" s="60" t="s">
        <v>101</v>
      </c>
      <c r="V161" s="60" t="s">
        <v>92</v>
      </c>
      <c r="W161" s="60" t="s">
        <v>93</v>
      </c>
      <c r="X161" s="63" t="s">
        <v>95</v>
      </c>
    </row>
    <row r="162" spans="1:24">
      <c r="A162" s="60">
        <v>830</v>
      </c>
      <c r="B162" s="61" t="s">
        <v>1263</v>
      </c>
      <c r="C162" s="62" t="s">
        <v>1264</v>
      </c>
      <c r="D162" s="62" t="s">
        <v>1265</v>
      </c>
      <c r="E162" s="60" t="s">
        <v>209</v>
      </c>
      <c r="F162" s="60" t="s">
        <v>170</v>
      </c>
      <c r="G162" s="60" t="s">
        <v>164</v>
      </c>
      <c r="H162" s="60" t="s">
        <v>100</v>
      </c>
      <c r="I162" s="60" t="s">
        <v>101</v>
      </c>
      <c r="J162" s="60" t="s">
        <v>2</v>
      </c>
      <c r="K162" s="60" t="s">
        <v>2</v>
      </c>
      <c r="L162" s="60">
        <v>200</v>
      </c>
      <c r="M162" s="60">
        <v>100</v>
      </c>
      <c r="N162" s="60">
        <v>2</v>
      </c>
      <c r="O162" s="60">
        <v>1</v>
      </c>
      <c r="P162" s="60" t="s">
        <v>172</v>
      </c>
      <c r="Q162" s="60" t="s">
        <v>92</v>
      </c>
      <c r="R162" s="60" t="s">
        <v>20</v>
      </c>
      <c r="S162" s="60" t="s">
        <v>92</v>
      </c>
      <c r="T162" s="60" t="s">
        <v>94</v>
      </c>
      <c r="U162" s="60" t="s">
        <v>108</v>
      </c>
      <c r="V162" s="60" t="s">
        <v>92</v>
      </c>
      <c r="W162" s="60" t="s">
        <v>101</v>
      </c>
      <c r="X162" s="63" t="s">
        <v>102</v>
      </c>
    </row>
    <row r="163" spans="1:24">
      <c r="A163" s="60">
        <v>504</v>
      </c>
      <c r="B163" s="61" t="s">
        <v>263</v>
      </c>
      <c r="C163" s="62" t="s">
        <v>264</v>
      </c>
      <c r="D163" s="62" t="s">
        <v>265</v>
      </c>
      <c r="E163" s="60" t="s">
        <v>127</v>
      </c>
      <c r="F163" s="60" t="s">
        <v>170</v>
      </c>
      <c r="G163" s="60" t="s">
        <v>182</v>
      </c>
      <c r="H163" s="60" t="s">
        <v>89</v>
      </c>
      <c r="I163" s="60" t="s">
        <v>101</v>
      </c>
      <c r="J163" s="60" t="s">
        <v>2</v>
      </c>
      <c r="K163" s="60" t="s">
        <v>3</v>
      </c>
      <c r="L163" s="60">
        <v>200</v>
      </c>
      <c r="M163" s="60">
        <v>100</v>
      </c>
      <c r="N163" s="60">
        <v>1</v>
      </c>
      <c r="O163" s="60" t="s">
        <v>101</v>
      </c>
      <c r="P163" s="60" t="s">
        <v>1568</v>
      </c>
      <c r="Q163" s="60" t="s">
        <v>92</v>
      </c>
      <c r="R163" s="60" t="s">
        <v>21</v>
      </c>
      <c r="S163" s="60" t="s">
        <v>3</v>
      </c>
      <c r="T163" s="60" t="s">
        <v>94</v>
      </c>
      <c r="U163" s="60" t="s">
        <v>108</v>
      </c>
      <c r="V163" s="60" t="s">
        <v>92</v>
      </c>
      <c r="W163" s="60" t="s">
        <v>101</v>
      </c>
      <c r="X163" s="63" t="s">
        <v>102</v>
      </c>
    </row>
    <row r="164" spans="1:24">
      <c r="A164" s="60">
        <v>1194</v>
      </c>
      <c r="B164" s="61" t="s">
        <v>1322</v>
      </c>
      <c r="C164" s="62" t="s">
        <v>1249</v>
      </c>
      <c r="D164" s="62" t="s">
        <v>728</v>
      </c>
      <c r="E164" s="60" t="s">
        <v>163</v>
      </c>
      <c r="F164" s="60" t="s">
        <v>87</v>
      </c>
      <c r="G164" s="60" t="s">
        <v>112</v>
      </c>
      <c r="H164" s="60" t="s">
        <v>707</v>
      </c>
      <c r="I164" s="60" t="s">
        <v>90</v>
      </c>
      <c r="J164" s="60" t="s">
        <v>2</v>
      </c>
      <c r="K164" s="60" t="s">
        <v>2</v>
      </c>
      <c r="L164" s="60" t="s">
        <v>87</v>
      </c>
      <c r="M164" s="60">
        <v>19</v>
      </c>
      <c r="N164" s="60" t="s">
        <v>87</v>
      </c>
      <c r="O164" s="60">
        <v>13</v>
      </c>
      <c r="P164" s="60" t="s">
        <v>718</v>
      </c>
      <c r="Q164" s="60" t="s">
        <v>19</v>
      </c>
      <c r="R164" s="60" t="s">
        <v>92</v>
      </c>
      <c r="S164" s="60" t="s">
        <v>92</v>
      </c>
      <c r="T164" s="60" t="s">
        <v>94</v>
      </c>
      <c r="U164" s="60" t="s">
        <v>93</v>
      </c>
      <c r="V164" s="60" t="s">
        <v>94</v>
      </c>
      <c r="W164" s="60" t="s">
        <v>93</v>
      </c>
      <c r="X164" s="63" t="s">
        <v>95</v>
      </c>
    </row>
    <row r="165" spans="1:24">
      <c r="A165" s="60">
        <v>563</v>
      </c>
      <c r="B165" s="61" t="s">
        <v>1248</v>
      </c>
      <c r="C165" s="62" t="s">
        <v>1249</v>
      </c>
      <c r="D165" s="62" t="s">
        <v>1250</v>
      </c>
      <c r="E165" s="60" t="s">
        <v>128</v>
      </c>
      <c r="F165" s="60" t="s">
        <v>87</v>
      </c>
      <c r="G165" s="60" t="s">
        <v>142</v>
      </c>
      <c r="H165" s="60" t="s">
        <v>707</v>
      </c>
      <c r="I165" s="60" t="s">
        <v>90</v>
      </c>
      <c r="J165" s="60" t="s">
        <v>2</v>
      </c>
      <c r="K165" s="60" t="s">
        <v>2</v>
      </c>
      <c r="L165" s="60" t="s">
        <v>87</v>
      </c>
      <c r="M165" s="60">
        <v>61</v>
      </c>
      <c r="N165" s="60" t="s">
        <v>87</v>
      </c>
      <c r="O165" s="60">
        <v>5</v>
      </c>
      <c r="P165" s="60" t="s">
        <v>708</v>
      </c>
      <c r="Q165" s="60" t="s">
        <v>24</v>
      </c>
      <c r="R165" s="60" t="s">
        <v>92</v>
      </c>
      <c r="S165" s="60" t="s">
        <v>3</v>
      </c>
      <c r="T165" s="60" t="s">
        <v>92</v>
      </c>
      <c r="U165" s="60" t="s">
        <v>108</v>
      </c>
      <c r="V165" s="60" t="s">
        <v>92</v>
      </c>
      <c r="W165" s="60" t="s">
        <v>93</v>
      </c>
      <c r="X165" s="63" t="s">
        <v>95</v>
      </c>
    </row>
    <row r="166" spans="1:24">
      <c r="A166" s="60">
        <v>436</v>
      </c>
      <c r="B166" s="61" t="s">
        <v>267</v>
      </c>
      <c r="C166" s="62" t="s">
        <v>268</v>
      </c>
      <c r="D166" s="62" t="s">
        <v>269</v>
      </c>
      <c r="E166" s="60" t="s">
        <v>186</v>
      </c>
      <c r="F166" s="60" t="s">
        <v>87</v>
      </c>
      <c r="G166" s="60" t="s">
        <v>1503</v>
      </c>
      <c r="H166" s="60" t="s">
        <v>100</v>
      </c>
      <c r="I166" s="60" t="s">
        <v>101</v>
      </c>
      <c r="J166" s="60" t="s">
        <v>2</v>
      </c>
      <c r="K166" s="60" t="s">
        <v>2</v>
      </c>
      <c r="L166" s="60">
        <v>215</v>
      </c>
      <c r="M166" s="60" t="s">
        <v>87</v>
      </c>
      <c r="N166" s="60">
        <v>9</v>
      </c>
      <c r="O166" s="60" t="s">
        <v>87</v>
      </c>
      <c r="P166" s="60">
        <v>9</v>
      </c>
      <c r="Q166" s="60" t="s">
        <v>92</v>
      </c>
      <c r="R166" s="60" t="s">
        <v>92</v>
      </c>
      <c r="S166" s="60" t="s">
        <v>92</v>
      </c>
      <c r="T166" s="60" t="s">
        <v>92</v>
      </c>
      <c r="U166" s="60" t="s">
        <v>108</v>
      </c>
      <c r="V166" s="60" t="s">
        <v>92</v>
      </c>
      <c r="W166" s="60" t="s">
        <v>108</v>
      </c>
      <c r="X166" s="63" t="s">
        <v>102</v>
      </c>
    </row>
    <row r="167" spans="1:24">
      <c r="A167" s="60">
        <v>416</v>
      </c>
      <c r="B167" s="61" t="s">
        <v>1237</v>
      </c>
      <c r="C167" s="62" t="s">
        <v>863</v>
      </c>
      <c r="D167" s="62" t="s">
        <v>126</v>
      </c>
      <c r="E167" s="60" t="s">
        <v>127</v>
      </c>
      <c r="F167" s="60" t="s">
        <v>87</v>
      </c>
      <c r="G167" s="60" t="s">
        <v>164</v>
      </c>
      <c r="H167" s="60" t="s">
        <v>707</v>
      </c>
      <c r="I167" s="60" t="s">
        <v>90</v>
      </c>
      <c r="J167" s="60" t="s">
        <v>3</v>
      </c>
      <c r="K167" s="60" t="s">
        <v>3</v>
      </c>
      <c r="L167" s="60" t="s">
        <v>87</v>
      </c>
      <c r="M167" s="60">
        <v>59</v>
      </c>
      <c r="N167" s="60" t="s">
        <v>87</v>
      </c>
      <c r="O167" s="60">
        <v>9</v>
      </c>
      <c r="P167" s="60" t="s">
        <v>744</v>
      </c>
      <c r="Q167" s="60" t="s">
        <v>19</v>
      </c>
      <c r="R167" s="60" t="s">
        <v>21</v>
      </c>
      <c r="S167" s="60" t="s">
        <v>92</v>
      </c>
      <c r="T167" s="60" t="s">
        <v>94</v>
      </c>
      <c r="U167" s="60" t="s">
        <v>108</v>
      </c>
      <c r="V167" s="60" t="s">
        <v>92</v>
      </c>
      <c r="W167" s="60" t="s">
        <v>93</v>
      </c>
      <c r="X167" s="63" t="s">
        <v>95</v>
      </c>
    </row>
    <row r="168" spans="1:24">
      <c r="A168" s="60">
        <v>1083</v>
      </c>
      <c r="B168" s="61" t="s">
        <v>864</v>
      </c>
      <c r="C168" s="62" t="s">
        <v>865</v>
      </c>
      <c r="D168" s="62" t="s">
        <v>110</v>
      </c>
      <c r="E168" s="60" t="s">
        <v>123</v>
      </c>
      <c r="F168" s="60" t="s">
        <v>87</v>
      </c>
      <c r="G168" s="60" t="s">
        <v>112</v>
      </c>
      <c r="H168" s="60" t="s">
        <v>707</v>
      </c>
      <c r="I168" s="60" t="s">
        <v>90</v>
      </c>
      <c r="J168" s="60" t="s">
        <v>2</v>
      </c>
      <c r="K168" s="60" t="s">
        <v>2</v>
      </c>
      <c r="L168" s="60" t="s">
        <v>87</v>
      </c>
      <c r="M168" s="60">
        <v>6</v>
      </c>
      <c r="N168" s="60" t="s">
        <v>87</v>
      </c>
      <c r="O168" s="60">
        <v>5</v>
      </c>
      <c r="P168" s="60" t="s">
        <v>708</v>
      </c>
      <c r="Q168" s="60" t="s">
        <v>19</v>
      </c>
      <c r="R168" s="60" t="s">
        <v>21</v>
      </c>
      <c r="S168" s="60" t="s">
        <v>37</v>
      </c>
      <c r="T168" s="60" t="s">
        <v>94</v>
      </c>
      <c r="U168" s="60" t="s">
        <v>90</v>
      </c>
      <c r="V168" s="60" t="s">
        <v>94</v>
      </c>
      <c r="W168" s="60" t="s">
        <v>93</v>
      </c>
      <c r="X168" s="63" t="s">
        <v>95</v>
      </c>
    </row>
    <row r="169" spans="1:24">
      <c r="A169" s="60">
        <v>1041</v>
      </c>
      <c r="B169" s="61" t="s">
        <v>866</v>
      </c>
      <c r="C169" s="62" t="s">
        <v>867</v>
      </c>
      <c r="D169" s="62" t="s">
        <v>528</v>
      </c>
      <c r="E169" s="60" t="s">
        <v>50</v>
      </c>
      <c r="F169" s="60" t="s">
        <v>87</v>
      </c>
      <c r="G169" s="60" t="s">
        <v>164</v>
      </c>
      <c r="H169" s="60" t="s">
        <v>707</v>
      </c>
      <c r="I169" s="60" t="s">
        <v>90</v>
      </c>
      <c r="J169" s="60" t="s">
        <v>3</v>
      </c>
      <c r="K169" s="60" t="s">
        <v>3</v>
      </c>
      <c r="L169" s="60" t="s">
        <v>87</v>
      </c>
      <c r="M169" s="60">
        <v>14</v>
      </c>
      <c r="N169" s="60" t="s">
        <v>87</v>
      </c>
      <c r="O169" s="60">
        <v>8</v>
      </c>
      <c r="P169" s="60" t="s">
        <v>714</v>
      </c>
      <c r="Q169" s="60" t="s">
        <v>19</v>
      </c>
      <c r="R169" s="60" t="s">
        <v>21</v>
      </c>
      <c r="S169" s="60" t="s">
        <v>37</v>
      </c>
      <c r="T169" s="60" t="s">
        <v>94</v>
      </c>
      <c r="U169" s="60" t="s">
        <v>93</v>
      </c>
      <c r="V169" s="60" t="s">
        <v>94</v>
      </c>
      <c r="W169" s="60" t="s">
        <v>93</v>
      </c>
      <c r="X169" s="63" t="s">
        <v>95</v>
      </c>
    </row>
    <row r="170" spans="1:24">
      <c r="A170" s="60">
        <v>321</v>
      </c>
      <c r="B170" s="61" t="s">
        <v>271</v>
      </c>
      <c r="C170" s="62" t="s">
        <v>272</v>
      </c>
      <c r="D170" s="62" t="s">
        <v>273</v>
      </c>
      <c r="E170" s="60" t="s">
        <v>127</v>
      </c>
      <c r="F170" s="60" t="s">
        <v>87</v>
      </c>
      <c r="G170" s="60" t="s">
        <v>99</v>
      </c>
      <c r="H170" s="60" t="s">
        <v>100</v>
      </c>
      <c r="I170" s="60" t="s">
        <v>101</v>
      </c>
      <c r="J170" s="60" t="s">
        <v>3</v>
      </c>
      <c r="K170" s="60" t="s">
        <v>3</v>
      </c>
      <c r="L170" s="60">
        <v>62</v>
      </c>
      <c r="M170" s="60">
        <v>14</v>
      </c>
      <c r="N170" s="60">
        <v>4</v>
      </c>
      <c r="O170" s="60" t="s">
        <v>118</v>
      </c>
      <c r="P170" s="60" t="s">
        <v>174</v>
      </c>
      <c r="Q170" s="60" t="s">
        <v>92</v>
      </c>
      <c r="R170" s="60" t="s">
        <v>92</v>
      </c>
      <c r="S170" s="60" t="s">
        <v>92</v>
      </c>
      <c r="T170" s="60" t="s">
        <v>94</v>
      </c>
      <c r="U170" s="60" t="s">
        <v>108</v>
      </c>
      <c r="V170" s="60" t="s">
        <v>92</v>
      </c>
      <c r="W170" s="60" t="s">
        <v>90</v>
      </c>
      <c r="X170" s="63" t="s">
        <v>102</v>
      </c>
    </row>
    <row r="171" spans="1:24">
      <c r="A171" s="60">
        <v>932</v>
      </c>
      <c r="B171" s="61" t="s">
        <v>868</v>
      </c>
      <c r="C171" s="62" t="s">
        <v>869</v>
      </c>
      <c r="D171" s="62" t="s">
        <v>331</v>
      </c>
      <c r="E171" s="60" t="s">
        <v>133</v>
      </c>
      <c r="F171" s="60" t="s">
        <v>87</v>
      </c>
      <c r="G171" s="60" t="s">
        <v>99</v>
      </c>
      <c r="H171" s="60" t="s">
        <v>707</v>
      </c>
      <c r="I171" s="60" t="s">
        <v>90</v>
      </c>
      <c r="J171" s="60" t="s">
        <v>2</v>
      </c>
      <c r="K171" s="60" t="s">
        <v>2</v>
      </c>
      <c r="L171" s="60" t="s">
        <v>87</v>
      </c>
      <c r="M171" s="60">
        <v>6</v>
      </c>
      <c r="N171" s="60" t="s">
        <v>87</v>
      </c>
      <c r="O171" s="60">
        <v>3</v>
      </c>
      <c r="P171" s="60" t="s">
        <v>727</v>
      </c>
      <c r="Q171" s="60" t="s">
        <v>92</v>
      </c>
      <c r="R171" s="60" t="s">
        <v>92</v>
      </c>
      <c r="S171" s="60" t="s">
        <v>3</v>
      </c>
      <c r="T171" s="60" t="s">
        <v>94</v>
      </c>
      <c r="U171" s="60" t="s">
        <v>90</v>
      </c>
      <c r="V171" s="60" t="s">
        <v>94</v>
      </c>
      <c r="W171" s="60" t="s">
        <v>90</v>
      </c>
      <c r="X171" s="63" t="s">
        <v>95</v>
      </c>
    </row>
    <row r="172" spans="1:24">
      <c r="A172" s="60">
        <v>901</v>
      </c>
      <c r="B172" s="61" t="s">
        <v>1569</v>
      </c>
      <c r="C172" s="62" t="s">
        <v>1570</v>
      </c>
      <c r="D172" s="62" t="s">
        <v>1043</v>
      </c>
      <c r="E172" s="60" t="s">
        <v>178</v>
      </c>
      <c r="F172" s="60" t="s">
        <v>87</v>
      </c>
      <c r="G172" s="60" t="s">
        <v>164</v>
      </c>
      <c r="H172" s="60" t="s">
        <v>707</v>
      </c>
      <c r="I172" s="60" t="s">
        <v>101</v>
      </c>
      <c r="J172" s="60" t="s">
        <v>2</v>
      </c>
      <c r="K172" s="60" t="s">
        <v>2</v>
      </c>
      <c r="L172" s="60" t="s">
        <v>87</v>
      </c>
      <c r="M172" s="60">
        <v>16</v>
      </c>
      <c r="N172" s="60" t="s">
        <v>87</v>
      </c>
      <c r="O172" s="60">
        <v>12</v>
      </c>
      <c r="P172" s="60" t="s">
        <v>782</v>
      </c>
      <c r="Q172" s="60" t="s">
        <v>19</v>
      </c>
      <c r="R172" s="60" t="s">
        <v>21</v>
      </c>
      <c r="S172" s="60" t="s">
        <v>37</v>
      </c>
      <c r="T172" s="60" t="s">
        <v>94</v>
      </c>
      <c r="U172" s="60" t="s">
        <v>108</v>
      </c>
      <c r="V172" s="60" t="s">
        <v>94</v>
      </c>
      <c r="W172" s="60" t="s">
        <v>93</v>
      </c>
      <c r="X172" s="63" t="s">
        <v>102</v>
      </c>
    </row>
    <row r="173" spans="1:24">
      <c r="A173" s="60">
        <v>267</v>
      </c>
      <c r="B173" s="61" t="s">
        <v>870</v>
      </c>
      <c r="C173" s="62" t="s">
        <v>871</v>
      </c>
      <c r="D173" s="62" t="s">
        <v>308</v>
      </c>
      <c r="E173" s="60" t="s">
        <v>98</v>
      </c>
      <c r="F173" s="60" t="s">
        <v>87</v>
      </c>
      <c r="G173" s="60" t="s">
        <v>171</v>
      </c>
      <c r="H173" s="60" t="s">
        <v>707</v>
      </c>
      <c r="I173" s="60" t="s">
        <v>90</v>
      </c>
      <c r="J173" s="60" t="s">
        <v>3</v>
      </c>
      <c r="K173" s="60" t="s">
        <v>3</v>
      </c>
      <c r="L173" s="60" t="s">
        <v>87</v>
      </c>
      <c r="M173" s="60">
        <v>49</v>
      </c>
      <c r="N173" s="60" t="s">
        <v>87</v>
      </c>
      <c r="O173" s="60">
        <v>6</v>
      </c>
      <c r="P173" s="60" t="s">
        <v>740</v>
      </c>
      <c r="Q173" s="60" t="s">
        <v>92</v>
      </c>
      <c r="R173" s="60" t="s">
        <v>92</v>
      </c>
      <c r="S173" s="60" t="s">
        <v>92</v>
      </c>
      <c r="T173" s="60" t="s">
        <v>94</v>
      </c>
      <c r="U173" s="60" t="s">
        <v>108</v>
      </c>
      <c r="V173" s="60" t="s">
        <v>92</v>
      </c>
      <c r="W173" s="60" t="s">
        <v>93</v>
      </c>
      <c r="X173" s="63" t="s">
        <v>95</v>
      </c>
    </row>
    <row r="174" spans="1:24">
      <c r="A174" s="60">
        <v>261</v>
      </c>
      <c r="B174" s="61" t="s">
        <v>1571</v>
      </c>
      <c r="C174" s="62" t="s">
        <v>1572</v>
      </c>
      <c r="D174" s="62" t="s">
        <v>214</v>
      </c>
      <c r="E174" s="60" t="s">
        <v>98</v>
      </c>
      <c r="F174" s="60" t="s">
        <v>87</v>
      </c>
      <c r="G174" s="60" t="s">
        <v>112</v>
      </c>
      <c r="H174" s="60" t="s">
        <v>100</v>
      </c>
      <c r="I174" s="60" t="s">
        <v>90</v>
      </c>
      <c r="J174" s="60" t="s">
        <v>2</v>
      </c>
      <c r="K174" s="60" t="s">
        <v>2</v>
      </c>
      <c r="L174" s="60">
        <v>58</v>
      </c>
      <c r="M174" s="60" t="s">
        <v>87</v>
      </c>
      <c r="N174" s="60">
        <v>11</v>
      </c>
      <c r="O174" s="60" t="s">
        <v>87</v>
      </c>
      <c r="P174" s="60">
        <v>11</v>
      </c>
      <c r="Q174" s="60" t="s">
        <v>22</v>
      </c>
      <c r="R174" s="60" t="s">
        <v>92</v>
      </c>
      <c r="S174" s="60" t="s">
        <v>37</v>
      </c>
      <c r="T174" s="60" t="s">
        <v>94</v>
      </c>
      <c r="U174" s="60" t="s">
        <v>90</v>
      </c>
      <c r="V174" s="60" t="s">
        <v>94</v>
      </c>
      <c r="W174" s="60" t="s">
        <v>90</v>
      </c>
      <c r="X174" s="63" t="s">
        <v>95</v>
      </c>
    </row>
    <row r="175" spans="1:24">
      <c r="A175" s="60">
        <v>200</v>
      </c>
      <c r="B175" s="61" t="s">
        <v>274</v>
      </c>
      <c r="C175" s="62" t="s">
        <v>275</v>
      </c>
      <c r="D175" s="62" t="s">
        <v>276</v>
      </c>
      <c r="E175" s="60" t="s">
        <v>218</v>
      </c>
      <c r="F175" s="60" t="s">
        <v>87</v>
      </c>
      <c r="G175" s="60" t="s">
        <v>150</v>
      </c>
      <c r="H175" s="60" t="s">
        <v>100</v>
      </c>
      <c r="I175" s="60" t="s">
        <v>90</v>
      </c>
      <c r="J175" s="60" t="s">
        <v>3</v>
      </c>
      <c r="K175" s="60" t="s">
        <v>3</v>
      </c>
      <c r="L175" s="60">
        <v>129</v>
      </c>
      <c r="M175" s="60">
        <v>9</v>
      </c>
      <c r="N175" s="60">
        <v>9</v>
      </c>
      <c r="O175" s="60" t="s">
        <v>368</v>
      </c>
      <c r="P175" s="60" t="s">
        <v>340</v>
      </c>
      <c r="Q175" s="60" t="s">
        <v>92</v>
      </c>
      <c r="R175" s="60" t="s">
        <v>21</v>
      </c>
      <c r="S175" s="60" t="s">
        <v>92</v>
      </c>
      <c r="T175" s="60" t="s">
        <v>94</v>
      </c>
      <c r="U175" s="60" t="s">
        <v>108</v>
      </c>
      <c r="V175" s="60" t="s">
        <v>92</v>
      </c>
      <c r="W175" s="60" t="s">
        <v>93</v>
      </c>
      <c r="X175" s="63" t="s">
        <v>95</v>
      </c>
    </row>
    <row r="176" spans="1:24">
      <c r="A176" s="60">
        <v>82</v>
      </c>
      <c r="B176" s="61" t="s">
        <v>277</v>
      </c>
      <c r="C176" s="62" t="s">
        <v>278</v>
      </c>
      <c r="D176" s="62" t="s">
        <v>177</v>
      </c>
      <c r="E176" s="60" t="s">
        <v>133</v>
      </c>
      <c r="F176" s="60" t="s">
        <v>87</v>
      </c>
      <c r="G176" s="60" t="s">
        <v>171</v>
      </c>
      <c r="H176" s="60" t="s">
        <v>707</v>
      </c>
      <c r="I176" s="60" t="s">
        <v>90</v>
      </c>
      <c r="J176" s="60" t="s">
        <v>3</v>
      </c>
      <c r="K176" s="60" t="s">
        <v>3</v>
      </c>
      <c r="L176" s="60" t="s">
        <v>87</v>
      </c>
      <c r="M176" s="60">
        <v>61</v>
      </c>
      <c r="N176" s="60" t="s">
        <v>87</v>
      </c>
      <c r="O176" s="60">
        <v>14</v>
      </c>
      <c r="P176" s="60" t="s">
        <v>794</v>
      </c>
      <c r="Q176" s="60" t="s">
        <v>19</v>
      </c>
      <c r="R176" s="60" t="s">
        <v>21</v>
      </c>
      <c r="S176" s="60" t="s">
        <v>3</v>
      </c>
      <c r="T176" s="60" t="s">
        <v>94</v>
      </c>
      <c r="U176" s="60" t="s">
        <v>93</v>
      </c>
      <c r="V176" s="60" t="s">
        <v>92</v>
      </c>
      <c r="W176" s="60" t="s">
        <v>93</v>
      </c>
      <c r="X176" s="63" t="s">
        <v>95</v>
      </c>
    </row>
    <row r="177" spans="1:24">
      <c r="A177" s="60">
        <v>1054</v>
      </c>
      <c r="B177" s="61" t="s">
        <v>1573</v>
      </c>
      <c r="C177" s="62" t="s">
        <v>1574</v>
      </c>
      <c r="D177" s="62" t="s">
        <v>262</v>
      </c>
      <c r="E177" s="60" t="s">
        <v>50</v>
      </c>
      <c r="F177" s="60" t="s">
        <v>87</v>
      </c>
      <c r="G177" s="60" t="s">
        <v>117</v>
      </c>
      <c r="H177" s="60" t="s">
        <v>707</v>
      </c>
      <c r="I177" s="60" t="s">
        <v>90</v>
      </c>
      <c r="J177" s="60" t="s">
        <v>2</v>
      </c>
      <c r="K177" s="60" t="s">
        <v>2</v>
      </c>
      <c r="L177" s="60" t="s">
        <v>87</v>
      </c>
      <c r="M177" s="60">
        <v>17</v>
      </c>
      <c r="N177" s="60" t="s">
        <v>87</v>
      </c>
      <c r="O177" s="60">
        <v>5</v>
      </c>
      <c r="P177" s="60" t="s">
        <v>708</v>
      </c>
      <c r="Q177" s="60" t="s">
        <v>19</v>
      </c>
      <c r="R177" s="60" t="s">
        <v>92</v>
      </c>
      <c r="S177" s="60" t="s">
        <v>38</v>
      </c>
      <c r="T177" s="60" t="s">
        <v>94</v>
      </c>
      <c r="U177" s="60" t="s">
        <v>93</v>
      </c>
      <c r="V177" s="60" t="s">
        <v>94</v>
      </c>
      <c r="W177" s="60" t="s">
        <v>93</v>
      </c>
      <c r="X177" s="63" t="s">
        <v>95</v>
      </c>
    </row>
    <row r="178" spans="1:24">
      <c r="A178" s="60">
        <v>653</v>
      </c>
      <c r="B178" s="61" t="s">
        <v>872</v>
      </c>
      <c r="C178" s="62" t="s">
        <v>873</v>
      </c>
      <c r="D178" s="62" t="s">
        <v>299</v>
      </c>
      <c r="E178" s="60" t="s">
        <v>106</v>
      </c>
      <c r="F178" s="60" t="s">
        <v>87</v>
      </c>
      <c r="G178" s="60" t="s">
        <v>88</v>
      </c>
      <c r="H178" s="60" t="s">
        <v>707</v>
      </c>
      <c r="I178" s="60" t="s">
        <v>90</v>
      </c>
      <c r="J178" s="60" t="s">
        <v>3</v>
      </c>
      <c r="K178" s="60" t="s">
        <v>3</v>
      </c>
      <c r="L178" s="60" t="s">
        <v>87</v>
      </c>
      <c r="M178" s="60">
        <v>54</v>
      </c>
      <c r="N178" s="60" t="s">
        <v>87</v>
      </c>
      <c r="O178" s="60">
        <v>7</v>
      </c>
      <c r="P178" s="60" t="s">
        <v>722</v>
      </c>
      <c r="Q178" s="60" t="s">
        <v>24</v>
      </c>
      <c r="R178" s="60" t="s">
        <v>21</v>
      </c>
      <c r="S178" s="60" t="s">
        <v>92</v>
      </c>
      <c r="T178" s="60" t="s">
        <v>94</v>
      </c>
      <c r="U178" s="60" t="s">
        <v>108</v>
      </c>
      <c r="V178" s="60" t="s">
        <v>92</v>
      </c>
      <c r="W178" s="60" t="s">
        <v>90</v>
      </c>
      <c r="X178" s="63" t="s">
        <v>95</v>
      </c>
    </row>
    <row r="179" spans="1:24">
      <c r="A179" s="60">
        <v>413</v>
      </c>
      <c r="B179" s="61" t="s">
        <v>279</v>
      </c>
      <c r="C179" s="62" t="s">
        <v>280</v>
      </c>
      <c r="D179" s="62" t="s">
        <v>281</v>
      </c>
      <c r="E179" s="60" t="s">
        <v>127</v>
      </c>
      <c r="F179" s="60" t="s">
        <v>87</v>
      </c>
      <c r="G179" s="60" t="s">
        <v>99</v>
      </c>
      <c r="H179" s="60" t="s">
        <v>707</v>
      </c>
      <c r="I179" s="60" t="s">
        <v>90</v>
      </c>
      <c r="J179" s="60" t="s">
        <v>2</v>
      </c>
      <c r="K179" s="60" t="s">
        <v>2</v>
      </c>
      <c r="L179" s="60" t="s">
        <v>87</v>
      </c>
      <c r="M179" s="60">
        <v>76</v>
      </c>
      <c r="N179" s="60" t="s">
        <v>87</v>
      </c>
      <c r="O179" s="60">
        <v>16</v>
      </c>
      <c r="P179" s="60" t="s">
        <v>726</v>
      </c>
      <c r="Q179" s="60" t="s">
        <v>19</v>
      </c>
      <c r="R179" s="60" t="s">
        <v>92</v>
      </c>
      <c r="S179" s="60" t="s">
        <v>37</v>
      </c>
      <c r="T179" s="60" t="s">
        <v>94</v>
      </c>
      <c r="U179" s="60" t="s">
        <v>108</v>
      </c>
      <c r="V179" s="60" t="s">
        <v>92</v>
      </c>
      <c r="W179" s="60" t="s">
        <v>93</v>
      </c>
      <c r="X179" s="63" t="s">
        <v>95</v>
      </c>
    </row>
    <row r="180" spans="1:24">
      <c r="A180" s="60">
        <v>1164</v>
      </c>
      <c r="B180" s="61" t="s">
        <v>1575</v>
      </c>
      <c r="C180" s="62" t="s">
        <v>1324</v>
      </c>
      <c r="D180" s="62" t="s">
        <v>1576</v>
      </c>
      <c r="E180" s="60" t="s">
        <v>141</v>
      </c>
      <c r="F180" s="60" t="s">
        <v>87</v>
      </c>
      <c r="G180" s="60" t="s">
        <v>107</v>
      </c>
      <c r="H180" s="60" t="s">
        <v>707</v>
      </c>
      <c r="I180" s="60" t="s">
        <v>101</v>
      </c>
      <c r="J180" s="60" t="s">
        <v>2</v>
      </c>
      <c r="K180" s="60" t="s">
        <v>2</v>
      </c>
      <c r="L180" s="60" t="s">
        <v>87</v>
      </c>
      <c r="M180" s="60">
        <v>5</v>
      </c>
      <c r="N180" s="60" t="s">
        <v>87</v>
      </c>
      <c r="O180" s="60">
        <v>4</v>
      </c>
      <c r="P180" s="60" t="s">
        <v>754</v>
      </c>
      <c r="Q180" s="60" t="s">
        <v>22</v>
      </c>
      <c r="R180" s="60" t="s">
        <v>21</v>
      </c>
      <c r="S180" s="60" t="s">
        <v>92</v>
      </c>
      <c r="T180" s="60" t="s">
        <v>92</v>
      </c>
      <c r="U180" s="60" t="s">
        <v>101</v>
      </c>
      <c r="V180" s="60" t="s">
        <v>92</v>
      </c>
      <c r="W180" s="60" t="s">
        <v>93</v>
      </c>
      <c r="X180" s="63" t="s">
        <v>102</v>
      </c>
    </row>
    <row r="181" spans="1:24">
      <c r="A181" s="60">
        <v>1315</v>
      </c>
      <c r="B181" s="61" t="s">
        <v>1323</v>
      </c>
      <c r="C181" s="62" t="s">
        <v>1324</v>
      </c>
      <c r="D181" s="62" t="s">
        <v>319</v>
      </c>
      <c r="E181" s="60" t="s">
        <v>127</v>
      </c>
      <c r="F181" s="60" t="s">
        <v>87</v>
      </c>
      <c r="G181" s="60" t="s">
        <v>99</v>
      </c>
      <c r="H181" s="60" t="s">
        <v>707</v>
      </c>
      <c r="I181" s="60" t="s">
        <v>101</v>
      </c>
      <c r="J181" s="60" t="s">
        <v>2</v>
      </c>
      <c r="K181" s="60" t="s">
        <v>2</v>
      </c>
      <c r="L181" s="60" t="s">
        <v>87</v>
      </c>
      <c r="M181" s="60">
        <v>17</v>
      </c>
      <c r="N181" s="60" t="s">
        <v>87</v>
      </c>
      <c r="O181" s="60">
        <v>6</v>
      </c>
      <c r="P181" s="60" t="s">
        <v>740</v>
      </c>
      <c r="Q181" s="60" t="s">
        <v>24</v>
      </c>
      <c r="R181" s="60" t="s">
        <v>21</v>
      </c>
      <c r="S181" s="60" t="s">
        <v>38</v>
      </c>
      <c r="T181" s="60" t="s">
        <v>94</v>
      </c>
      <c r="U181" s="60" t="s">
        <v>108</v>
      </c>
      <c r="V181" s="60" t="s">
        <v>94</v>
      </c>
      <c r="W181" s="60" t="s">
        <v>90</v>
      </c>
      <c r="X181" s="63" t="s">
        <v>102</v>
      </c>
    </row>
    <row r="182" spans="1:24">
      <c r="A182" s="60">
        <v>741</v>
      </c>
      <c r="B182" s="61" t="s">
        <v>1577</v>
      </c>
      <c r="C182" s="62" t="s">
        <v>1578</v>
      </c>
      <c r="D182" s="62" t="s">
        <v>1579</v>
      </c>
      <c r="E182" s="60" t="s">
        <v>226</v>
      </c>
      <c r="F182" s="60" t="s">
        <v>87</v>
      </c>
      <c r="G182" s="60" t="s">
        <v>112</v>
      </c>
      <c r="H182" s="60" t="s">
        <v>100</v>
      </c>
      <c r="I182" s="60" t="s">
        <v>101</v>
      </c>
      <c r="J182" s="60" t="s">
        <v>2</v>
      </c>
      <c r="K182" s="60" t="s">
        <v>2</v>
      </c>
      <c r="L182" s="60">
        <v>51</v>
      </c>
      <c r="M182" s="60" t="s">
        <v>87</v>
      </c>
      <c r="N182" s="60">
        <v>11</v>
      </c>
      <c r="O182" s="60" t="s">
        <v>87</v>
      </c>
      <c r="P182" s="60">
        <v>11</v>
      </c>
      <c r="Q182" s="60" t="s">
        <v>19</v>
      </c>
      <c r="R182" s="60" t="s">
        <v>92</v>
      </c>
      <c r="S182" s="60" t="s">
        <v>92</v>
      </c>
      <c r="T182" s="60" t="s">
        <v>94</v>
      </c>
      <c r="U182" s="60" t="s">
        <v>90</v>
      </c>
      <c r="V182" s="60" t="s">
        <v>94</v>
      </c>
      <c r="W182" s="60" t="s">
        <v>101</v>
      </c>
      <c r="X182" s="63" t="s">
        <v>102</v>
      </c>
    </row>
    <row r="183" spans="1:24">
      <c r="A183" s="60">
        <v>349</v>
      </c>
      <c r="B183" s="61" t="s">
        <v>1225</v>
      </c>
      <c r="C183" s="62" t="s">
        <v>1226</v>
      </c>
      <c r="D183" s="62" t="s">
        <v>1227</v>
      </c>
      <c r="E183" s="60" t="s">
        <v>152</v>
      </c>
      <c r="F183" s="60" t="s">
        <v>87</v>
      </c>
      <c r="G183" s="60" t="s">
        <v>150</v>
      </c>
      <c r="H183" s="60" t="s">
        <v>100</v>
      </c>
      <c r="I183" s="60" t="s">
        <v>90</v>
      </c>
      <c r="J183" s="60" t="s">
        <v>3</v>
      </c>
      <c r="K183" s="60" t="s">
        <v>3</v>
      </c>
      <c r="L183" s="60">
        <v>114</v>
      </c>
      <c r="M183" s="60">
        <v>2</v>
      </c>
      <c r="N183" s="60">
        <v>8</v>
      </c>
      <c r="O183" s="60" t="s">
        <v>344</v>
      </c>
      <c r="P183" s="60" t="s">
        <v>198</v>
      </c>
      <c r="Q183" s="60" t="s">
        <v>22</v>
      </c>
      <c r="R183" s="60" t="s">
        <v>21</v>
      </c>
      <c r="S183" s="60" t="s">
        <v>92</v>
      </c>
      <c r="T183" s="60" t="s">
        <v>92</v>
      </c>
      <c r="U183" s="60" t="s">
        <v>90</v>
      </c>
      <c r="V183" s="60" t="s">
        <v>92</v>
      </c>
      <c r="W183" s="60" t="s">
        <v>90</v>
      </c>
      <c r="X183" s="63" t="s">
        <v>95</v>
      </c>
    </row>
    <row r="184" spans="1:24">
      <c r="A184" s="60">
        <v>659</v>
      </c>
      <c r="B184" s="61" t="s">
        <v>1580</v>
      </c>
      <c r="C184" s="62" t="s">
        <v>1581</v>
      </c>
      <c r="D184" s="62" t="s">
        <v>308</v>
      </c>
      <c r="E184" s="60" t="s">
        <v>106</v>
      </c>
      <c r="F184" s="60" t="s">
        <v>87</v>
      </c>
      <c r="G184" s="60" t="s">
        <v>112</v>
      </c>
      <c r="H184" s="60" t="s">
        <v>707</v>
      </c>
      <c r="I184" s="60" t="s">
        <v>101</v>
      </c>
      <c r="J184" s="60" t="s">
        <v>2</v>
      </c>
      <c r="K184" s="60" t="s">
        <v>2</v>
      </c>
      <c r="L184" s="60" t="s">
        <v>87</v>
      </c>
      <c r="M184" s="60">
        <v>25</v>
      </c>
      <c r="N184" s="60" t="s">
        <v>87</v>
      </c>
      <c r="O184" s="60">
        <v>13</v>
      </c>
      <c r="P184" s="60" t="s">
        <v>718</v>
      </c>
      <c r="Q184" s="60" t="s">
        <v>92</v>
      </c>
      <c r="R184" s="60" t="s">
        <v>21</v>
      </c>
      <c r="S184" s="60" t="s">
        <v>23</v>
      </c>
      <c r="T184" s="60" t="s">
        <v>94</v>
      </c>
      <c r="U184" s="60" t="s">
        <v>108</v>
      </c>
      <c r="V184" s="60" t="s">
        <v>92</v>
      </c>
      <c r="W184" s="60" t="s">
        <v>93</v>
      </c>
      <c r="X184" s="63" t="s">
        <v>102</v>
      </c>
    </row>
    <row r="185" spans="1:24">
      <c r="A185" s="60">
        <v>288</v>
      </c>
      <c r="B185" s="61" t="s">
        <v>282</v>
      </c>
      <c r="C185" s="62" t="s">
        <v>283</v>
      </c>
      <c r="D185" s="62" t="s">
        <v>284</v>
      </c>
      <c r="E185" s="60" t="s">
        <v>408</v>
      </c>
      <c r="F185" s="60" t="s">
        <v>87</v>
      </c>
      <c r="G185" s="60" t="s">
        <v>117</v>
      </c>
      <c r="H185" s="60" t="s">
        <v>100</v>
      </c>
      <c r="I185" s="60" t="s">
        <v>101</v>
      </c>
      <c r="J185" s="60" t="s">
        <v>2</v>
      </c>
      <c r="K185" s="60" t="s">
        <v>2</v>
      </c>
      <c r="L185" s="60">
        <v>155</v>
      </c>
      <c r="M185" s="60" t="s">
        <v>87</v>
      </c>
      <c r="N185" s="60">
        <v>9</v>
      </c>
      <c r="O185" s="60" t="s">
        <v>87</v>
      </c>
      <c r="P185" s="60">
        <v>9</v>
      </c>
      <c r="Q185" s="60" t="s">
        <v>92</v>
      </c>
      <c r="R185" s="60" t="s">
        <v>92</v>
      </c>
      <c r="S185" s="60" t="s">
        <v>37</v>
      </c>
      <c r="T185" s="60" t="s">
        <v>94</v>
      </c>
      <c r="U185" s="60" t="s">
        <v>108</v>
      </c>
      <c r="V185" s="60" t="s">
        <v>92</v>
      </c>
      <c r="W185" s="60" t="s">
        <v>90</v>
      </c>
      <c r="X185" s="63" t="s">
        <v>102</v>
      </c>
    </row>
    <row r="186" spans="1:24">
      <c r="A186" s="60">
        <v>1311</v>
      </c>
      <c r="B186" s="61" t="s">
        <v>285</v>
      </c>
      <c r="C186" s="62" t="s">
        <v>286</v>
      </c>
      <c r="D186" s="62" t="s">
        <v>287</v>
      </c>
      <c r="E186" s="60" t="s">
        <v>209</v>
      </c>
      <c r="F186" s="60" t="s">
        <v>87</v>
      </c>
      <c r="G186" s="60" t="s">
        <v>112</v>
      </c>
      <c r="H186" s="60" t="s">
        <v>100</v>
      </c>
      <c r="I186" s="60" t="s">
        <v>90</v>
      </c>
      <c r="J186" s="60" t="s">
        <v>2</v>
      </c>
      <c r="K186" s="60" t="s">
        <v>3</v>
      </c>
      <c r="L186" s="60">
        <v>17</v>
      </c>
      <c r="M186" s="60" t="s">
        <v>87</v>
      </c>
      <c r="N186" s="60">
        <v>3</v>
      </c>
      <c r="O186" s="60" t="s">
        <v>87</v>
      </c>
      <c r="P186" s="60">
        <v>3</v>
      </c>
      <c r="Q186" s="60" t="s">
        <v>92</v>
      </c>
      <c r="R186" s="60" t="s">
        <v>20</v>
      </c>
      <c r="S186" s="60" t="s">
        <v>37</v>
      </c>
      <c r="T186" s="60" t="s">
        <v>94</v>
      </c>
      <c r="U186" s="60" t="s">
        <v>108</v>
      </c>
      <c r="V186" s="60" t="s">
        <v>92</v>
      </c>
      <c r="W186" s="60" t="s">
        <v>93</v>
      </c>
      <c r="X186" s="63" t="s">
        <v>95</v>
      </c>
    </row>
    <row r="187" spans="1:24">
      <c r="A187" s="60">
        <v>439</v>
      </c>
      <c r="B187" s="61" t="s">
        <v>289</v>
      </c>
      <c r="C187" s="62" t="s">
        <v>290</v>
      </c>
      <c r="D187" s="62" t="s">
        <v>291</v>
      </c>
      <c r="E187" s="60" t="s">
        <v>186</v>
      </c>
      <c r="F187" s="60" t="s">
        <v>87</v>
      </c>
      <c r="G187" s="60" t="s">
        <v>142</v>
      </c>
      <c r="H187" s="60" t="s">
        <v>100</v>
      </c>
      <c r="I187" s="60" t="s">
        <v>101</v>
      </c>
      <c r="J187" s="60" t="s">
        <v>2</v>
      </c>
      <c r="K187" s="60" t="s">
        <v>2</v>
      </c>
      <c r="L187" s="60">
        <v>171</v>
      </c>
      <c r="M187" s="60">
        <v>11</v>
      </c>
      <c r="N187" s="60">
        <v>14</v>
      </c>
      <c r="O187" s="60" t="s">
        <v>433</v>
      </c>
      <c r="P187" s="60" t="s">
        <v>245</v>
      </c>
      <c r="Q187" s="60" t="s">
        <v>92</v>
      </c>
      <c r="R187" s="60" t="s">
        <v>92</v>
      </c>
      <c r="S187" s="60" t="s">
        <v>3</v>
      </c>
      <c r="T187" s="60" t="s">
        <v>94</v>
      </c>
      <c r="U187" s="60" t="s">
        <v>90</v>
      </c>
      <c r="V187" s="60" t="s">
        <v>92</v>
      </c>
      <c r="W187" s="60" t="s">
        <v>90</v>
      </c>
      <c r="X187" s="63" t="s">
        <v>102</v>
      </c>
    </row>
    <row r="188" spans="1:24">
      <c r="A188" s="60">
        <v>1142</v>
      </c>
      <c r="B188" s="61" t="s">
        <v>1325</v>
      </c>
      <c r="C188" s="62" t="s">
        <v>1326</v>
      </c>
      <c r="D188" s="62" t="s">
        <v>1327</v>
      </c>
      <c r="E188" s="60" t="s">
        <v>149</v>
      </c>
      <c r="F188" s="60" t="s">
        <v>87</v>
      </c>
      <c r="G188" s="60" t="s">
        <v>142</v>
      </c>
      <c r="H188" s="60" t="s">
        <v>707</v>
      </c>
      <c r="I188" s="60" t="s">
        <v>101</v>
      </c>
      <c r="J188" s="60" t="s">
        <v>3</v>
      </c>
      <c r="K188" s="60" t="s">
        <v>3</v>
      </c>
      <c r="L188" s="60" t="s">
        <v>87</v>
      </c>
      <c r="M188" s="60">
        <v>4</v>
      </c>
      <c r="N188" s="60" t="s">
        <v>87</v>
      </c>
      <c r="O188" s="60">
        <v>3</v>
      </c>
      <c r="P188" s="60" t="s">
        <v>727</v>
      </c>
      <c r="Q188" s="60" t="s">
        <v>19</v>
      </c>
      <c r="R188" s="60" t="s">
        <v>21</v>
      </c>
      <c r="S188" s="60" t="s">
        <v>38</v>
      </c>
      <c r="T188" s="60" t="s">
        <v>92</v>
      </c>
      <c r="U188" s="60" t="s">
        <v>108</v>
      </c>
      <c r="V188" s="60" t="s">
        <v>92</v>
      </c>
      <c r="W188" s="60" t="s">
        <v>93</v>
      </c>
      <c r="X188" s="63" t="s">
        <v>102</v>
      </c>
    </row>
    <row r="189" spans="1:24">
      <c r="A189" s="60">
        <v>712</v>
      </c>
      <c r="B189" s="61" t="s">
        <v>874</v>
      </c>
      <c r="C189" s="62" t="s">
        <v>875</v>
      </c>
      <c r="D189" s="62" t="s">
        <v>876</v>
      </c>
      <c r="E189" s="60" t="s">
        <v>328</v>
      </c>
      <c r="F189" s="60" t="s">
        <v>87</v>
      </c>
      <c r="G189" s="60" t="s">
        <v>117</v>
      </c>
      <c r="H189" s="60" t="s">
        <v>707</v>
      </c>
      <c r="I189" s="60" t="s">
        <v>101</v>
      </c>
      <c r="J189" s="60" t="s">
        <v>2</v>
      </c>
      <c r="K189" s="60" t="s">
        <v>2</v>
      </c>
      <c r="L189" s="60" t="s">
        <v>87</v>
      </c>
      <c r="M189" s="60">
        <v>78</v>
      </c>
      <c r="N189" s="60" t="s">
        <v>87</v>
      </c>
      <c r="O189" s="60">
        <v>20</v>
      </c>
      <c r="P189" s="60" t="s">
        <v>788</v>
      </c>
      <c r="Q189" s="60" t="s">
        <v>24</v>
      </c>
      <c r="R189" s="60" t="s">
        <v>92</v>
      </c>
      <c r="S189" s="60" t="s">
        <v>92</v>
      </c>
      <c r="T189" s="60" t="s">
        <v>94</v>
      </c>
      <c r="U189" s="60" t="s">
        <v>108</v>
      </c>
      <c r="V189" s="60" t="s">
        <v>92</v>
      </c>
      <c r="W189" s="60" t="s">
        <v>90</v>
      </c>
      <c r="X189" s="63" t="s">
        <v>102</v>
      </c>
    </row>
    <row r="190" spans="1:24">
      <c r="A190" s="60">
        <v>952</v>
      </c>
      <c r="B190" s="61" t="s">
        <v>1328</v>
      </c>
      <c r="C190" s="62" t="s">
        <v>1329</v>
      </c>
      <c r="D190" s="62" t="s">
        <v>1330</v>
      </c>
      <c r="E190" s="60" t="s">
        <v>111</v>
      </c>
      <c r="F190" s="60" t="s">
        <v>170</v>
      </c>
      <c r="G190" s="60" t="s">
        <v>112</v>
      </c>
      <c r="H190" s="60" t="s">
        <v>100</v>
      </c>
      <c r="I190" s="60" t="s">
        <v>90</v>
      </c>
      <c r="J190" s="60" t="s">
        <v>3</v>
      </c>
      <c r="K190" s="60" t="s">
        <v>2</v>
      </c>
      <c r="L190" s="60">
        <v>200</v>
      </c>
      <c r="M190" s="60">
        <v>100</v>
      </c>
      <c r="N190" s="60">
        <v>2</v>
      </c>
      <c r="O190" s="60">
        <v>1</v>
      </c>
      <c r="P190" s="60" t="s">
        <v>172</v>
      </c>
      <c r="Q190" s="60" t="s">
        <v>92</v>
      </c>
      <c r="R190" s="60" t="s">
        <v>92</v>
      </c>
      <c r="S190" s="60" t="s">
        <v>38</v>
      </c>
      <c r="T190" s="60" t="s">
        <v>94</v>
      </c>
      <c r="U190" s="60" t="s">
        <v>101</v>
      </c>
      <c r="V190" s="60" t="s">
        <v>92</v>
      </c>
      <c r="W190" s="60" t="s">
        <v>101</v>
      </c>
      <c r="X190" s="63" t="s">
        <v>95</v>
      </c>
    </row>
    <row r="191" spans="1:24">
      <c r="A191" s="60">
        <v>355</v>
      </c>
      <c r="B191" s="61" t="s">
        <v>877</v>
      </c>
      <c r="C191" s="62" t="s">
        <v>878</v>
      </c>
      <c r="D191" s="62" t="s">
        <v>276</v>
      </c>
      <c r="E191" s="60" t="s">
        <v>152</v>
      </c>
      <c r="F191" s="60" t="s">
        <v>87</v>
      </c>
      <c r="G191" s="60" t="s">
        <v>164</v>
      </c>
      <c r="H191" s="60" t="s">
        <v>707</v>
      </c>
      <c r="I191" s="60" t="s">
        <v>101</v>
      </c>
      <c r="J191" s="60" t="s">
        <v>2</v>
      </c>
      <c r="K191" s="60" t="s">
        <v>2</v>
      </c>
      <c r="L191" s="60" t="s">
        <v>87</v>
      </c>
      <c r="M191" s="60">
        <v>51</v>
      </c>
      <c r="N191" s="60" t="s">
        <v>87</v>
      </c>
      <c r="O191" s="60">
        <v>4</v>
      </c>
      <c r="P191" s="60" t="s">
        <v>754</v>
      </c>
      <c r="Q191" s="60" t="s">
        <v>22</v>
      </c>
      <c r="R191" s="60" t="s">
        <v>92</v>
      </c>
      <c r="S191" s="60" t="s">
        <v>3</v>
      </c>
      <c r="T191" s="60" t="s">
        <v>92</v>
      </c>
      <c r="U191" s="60" t="s">
        <v>90</v>
      </c>
      <c r="V191" s="60" t="s">
        <v>92</v>
      </c>
      <c r="W191" s="60" t="s">
        <v>90</v>
      </c>
      <c r="X191" s="63" t="s">
        <v>102</v>
      </c>
    </row>
    <row r="192" spans="1:24">
      <c r="A192" s="60">
        <v>1103</v>
      </c>
      <c r="B192" s="61" t="s">
        <v>1582</v>
      </c>
      <c r="C192" s="62" t="s">
        <v>1583</v>
      </c>
      <c r="D192" s="62" t="s">
        <v>97</v>
      </c>
      <c r="E192" s="60" t="s">
        <v>249</v>
      </c>
      <c r="F192" s="60" t="s">
        <v>87</v>
      </c>
      <c r="G192" s="60" t="s">
        <v>147</v>
      </c>
      <c r="H192" s="60" t="s">
        <v>707</v>
      </c>
      <c r="I192" s="60" t="s">
        <v>90</v>
      </c>
      <c r="J192" s="60" t="s">
        <v>2</v>
      </c>
      <c r="K192" s="60" t="s">
        <v>3</v>
      </c>
      <c r="L192" s="60" t="s">
        <v>87</v>
      </c>
      <c r="M192" s="60">
        <v>10</v>
      </c>
      <c r="N192" s="60" t="s">
        <v>87</v>
      </c>
      <c r="O192" s="60">
        <v>8</v>
      </c>
      <c r="P192" s="60" t="s">
        <v>714</v>
      </c>
      <c r="Q192" s="60" t="s">
        <v>19</v>
      </c>
      <c r="R192" s="60" t="s">
        <v>20</v>
      </c>
      <c r="S192" s="60" t="s">
        <v>38</v>
      </c>
      <c r="T192" s="60" t="s">
        <v>94</v>
      </c>
      <c r="U192" s="60" t="s">
        <v>90</v>
      </c>
      <c r="V192" s="60" t="s">
        <v>94</v>
      </c>
      <c r="W192" s="60" t="s">
        <v>93</v>
      </c>
      <c r="X192" s="63" t="s">
        <v>95</v>
      </c>
    </row>
    <row r="193" spans="1:24">
      <c r="A193" s="60">
        <v>171</v>
      </c>
      <c r="B193" s="61" t="s">
        <v>292</v>
      </c>
      <c r="C193" s="62" t="s">
        <v>293</v>
      </c>
      <c r="D193" s="62" t="s">
        <v>140</v>
      </c>
      <c r="E193" s="60" t="s">
        <v>157</v>
      </c>
      <c r="F193" s="60" t="s">
        <v>87</v>
      </c>
      <c r="G193" s="60" t="s">
        <v>171</v>
      </c>
      <c r="H193" s="60" t="s">
        <v>100</v>
      </c>
      <c r="I193" s="60" t="s">
        <v>90</v>
      </c>
      <c r="J193" s="60" t="s">
        <v>3</v>
      </c>
      <c r="K193" s="60" t="s">
        <v>2</v>
      </c>
      <c r="L193" s="60">
        <v>109</v>
      </c>
      <c r="M193" s="60" t="s">
        <v>87</v>
      </c>
      <c r="N193" s="60">
        <v>6</v>
      </c>
      <c r="O193" s="60" t="s">
        <v>87</v>
      </c>
      <c r="P193" s="60">
        <v>6</v>
      </c>
      <c r="Q193" s="60" t="s">
        <v>92</v>
      </c>
      <c r="R193" s="60" t="s">
        <v>20</v>
      </c>
      <c r="S193" s="60" t="s">
        <v>92</v>
      </c>
      <c r="T193" s="60" t="s">
        <v>94</v>
      </c>
      <c r="U193" s="60" t="s">
        <v>108</v>
      </c>
      <c r="V193" s="60" t="s">
        <v>94</v>
      </c>
      <c r="W193" s="60" t="s">
        <v>93</v>
      </c>
      <c r="X193" s="63" t="s">
        <v>95</v>
      </c>
    </row>
    <row r="194" spans="1:24">
      <c r="A194" s="60">
        <v>974</v>
      </c>
      <c r="B194" s="61" t="s">
        <v>1584</v>
      </c>
      <c r="C194" s="62" t="s">
        <v>880</v>
      </c>
      <c r="D194" s="62" t="s">
        <v>299</v>
      </c>
      <c r="E194" s="60" t="s">
        <v>157</v>
      </c>
      <c r="F194" s="60" t="s">
        <v>170</v>
      </c>
      <c r="G194" s="60" t="s">
        <v>147</v>
      </c>
      <c r="H194" s="60" t="s">
        <v>707</v>
      </c>
      <c r="I194" s="60" t="s">
        <v>90</v>
      </c>
      <c r="J194" s="60" t="s">
        <v>2</v>
      </c>
      <c r="K194" s="60" t="s">
        <v>2</v>
      </c>
      <c r="L194" s="60" t="s">
        <v>87</v>
      </c>
      <c r="M194" s="60">
        <v>100</v>
      </c>
      <c r="N194" s="60" t="s">
        <v>87</v>
      </c>
      <c r="O194" s="60">
        <v>1</v>
      </c>
      <c r="P194" s="60" t="s">
        <v>729</v>
      </c>
      <c r="Q194" s="60" t="s">
        <v>22</v>
      </c>
      <c r="R194" s="60" t="s">
        <v>21</v>
      </c>
      <c r="S194" s="60" t="s">
        <v>38</v>
      </c>
      <c r="T194" s="60" t="s">
        <v>92</v>
      </c>
      <c r="U194" s="60" t="s">
        <v>90</v>
      </c>
      <c r="V194" s="60" t="s">
        <v>92</v>
      </c>
      <c r="W194" s="60" t="s">
        <v>93</v>
      </c>
      <c r="X194" s="63" t="s">
        <v>95</v>
      </c>
    </row>
    <row r="195" spans="1:24">
      <c r="A195" s="60">
        <v>146</v>
      </c>
      <c r="B195" s="61" t="s">
        <v>879</v>
      </c>
      <c r="C195" s="62" t="s">
        <v>880</v>
      </c>
      <c r="D195" s="62" t="s">
        <v>881</v>
      </c>
      <c r="E195" s="60" t="s">
        <v>127</v>
      </c>
      <c r="F195" s="60" t="s">
        <v>87</v>
      </c>
      <c r="G195" s="60" t="s">
        <v>99</v>
      </c>
      <c r="H195" s="60" t="s">
        <v>707</v>
      </c>
      <c r="I195" s="60" t="s">
        <v>101</v>
      </c>
      <c r="J195" s="60" t="s">
        <v>2</v>
      </c>
      <c r="K195" s="60" t="s">
        <v>2</v>
      </c>
      <c r="L195" s="60" t="s">
        <v>87</v>
      </c>
      <c r="M195" s="60">
        <v>48</v>
      </c>
      <c r="N195" s="60" t="s">
        <v>87</v>
      </c>
      <c r="O195" s="60">
        <v>3</v>
      </c>
      <c r="P195" s="60" t="s">
        <v>727</v>
      </c>
      <c r="Q195" s="60" t="s">
        <v>22</v>
      </c>
      <c r="R195" s="60" t="s">
        <v>20</v>
      </c>
      <c r="S195" s="60" t="s">
        <v>92</v>
      </c>
      <c r="T195" s="60" t="s">
        <v>94</v>
      </c>
      <c r="U195" s="60" t="s">
        <v>108</v>
      </c>
      <c r="V195" s="60" t="s">
        <v>92</v>
      </c>
      <c r="W195" s="60" t="s">
        <v>101</v>
      </c>
      <c r="X195" s="63" t="s">
        <v>102</v>
      </c>
    </row>
    <row r="196" spans="1:24">
      <c r="A196" s="60">
        <v>651</v>
      </c>
      <c r="B196" s="61" t="s">
        <v>294</v>
      </c>
      <c r="C196" s="62" t="s">
        <v>295</v>
      </c>
      <c r="D196" s="62" t="s">
        <v>110</v>
      </c>
      <c r="E196" s="60" t="s">
        <v>106</v>
      </c>
      <c r="F196" s="60" t="s">
        <v>87</v>
      </c>
      <c r="G196" s="60" t="s">
        <v>147</v>
      </c>
      <c r="H196" s="60" t="s">
        <v>100</v>
      </c>
      <c r="I196" s="60" t="s">
        <v>101</v>
      </c>
      <c r="J196" s="60" t="s">
        <v>2</v>
      </c>
      <c r="K196" s="60" t="s">
        <v>2</v>
      </c>
      <c r="L196" s="60">
        <v>65</v>
      </c>
      <c r="M196" s="60" t="s">
        <v>87</v>
      </c>
      <c r="N196" s="60">
        <v>10</v>
      </c>
      <c r="O196" s="60" t="s">
        <v>87</v>
      </c>
      <c r="P196" s="60">
        <v>10</v>
      </c>
      <c r="Q196" s="60" t="s">
        <v>24</v>
      </c>
      <c r="R196" s="60" t="s">
        <v>20</v>
      </c>
      <c r="S196" s="60" t="s">
        <v>37</v>
      </c>
      <c r="T196" s="60" t="s">
        <v>94</v>
      </c>
      <c r="U196" s="60" t="s">
        <v>101</v>
      </c>
      <c r="V196" s="60" t="s">
        <v>92</v>
      </c>
      <c r="W196" s="60" t="s">
        <v>108</v>
      </c>
      <c r="X196" s="63" t="s">
        <v>102</v>
      </c>
    </row>
    <row r="197" spans="1:24">
      <c r="A197" s="60">
        <v>957</v>
      </c>
      <c r="B197" s="61" t="s">
        <v>1585</v>
      </c>
      <c r="C197" s="62" t="s">
        <v>1586</v>
      </c>
      <c r="D197" s="62" t="s">
        <v>311</v>
      </c>
      <c r="E197" s="60" t="s">
        <v>111</v>
      </c>
      <c r="F197" s="60" t="s">
        <v>170</v>
      </c>
      <c r="G197" s="60" t="s">
        <v>112</v>
      </c>
      <c r="H197" s="60" t="s">
        <v>707</v>
      </c>
      <c r="I197" s="60" t="s">
        <v>90</v>
      </c>
      <c r="J197" s="60" t="s">
        <v>2</v>
      </c>
      <c r="K197" s="60" t="s">
        <v>2</v>
      </c>
      <c r="L197" s="60" t="s">
        <v>87</v>
      </c>
      <c r="M197" s="60">
        <v>100</v>
      </c>
      <c r="N197" s="60" t="s">
        <v>87</v>
      </c>
      <c r="O197" s="60">
        <v>2</v>
      </c>
      <c r="P197" s="60" t="s">
        <v>807</v>
      </c>
      <c r="Q197" s="60" t="s">
        <v>92</v>
      </c>
      <c r="R197" s="60" t="s">
        <v>92</v>
      </c>
      <c r="S197" s="60" t="s">
        <v>38</v>
      </c>
      <c r="T197" s="60" t="s">
        <v>94</v>
      </c>
      <c r="U197" s="60" t="s">
        <v>93</v>
      </c>
      <c r="V197" s="60" t="s">
        <v>94</v>
      </c>
      <c r="W197" s="60" t="s">
        <v>93</v>
      </c>
      <c r="X197" s="63" t="s">
        <v>95</v>
      </c>
    </row>
    <row r="198" spans="1:24">
      <c r="A198" s="60">
        <v>179</v>
      </c>
      <c r="B198" s="61" t="s">
        <v>882</v>
      </c>
      <c r="C198" s="62" t="s">
        <v>883</v>
      </c>
      <c r="D198" s="62" t="s">
        <v>153</v>
      </c>
      <c r="E198" s="60" t="s">
        <v>157</v>
      </c>
      <c r="F198" s="60" t="s">
        <v>87</v>
      </c>
      <c r="G198" s="60" t="s">
        <v>182</v>
      </c>
      <c r="H198" s="60" t="s">
        <v>707</v>
      </c>
      <c r="I198" s="60" t="s">
        <v>101</v>
      </c>
      <c r="J198" s="60" t="s">
        <v>2</v>
      </c>
      <c r="K198" s="60" t="s">
        <v>2</v>
      </c>
      <c r="L198" s="60" t="s">
        <v>87</v>
      </c>
      <c r="M198" s="60">
        <v>51</v>
      </c>
      <c r="N198" s="60" t="s">
        <v>87</v>
      </c>
      <c r="O198" s="60">
        <v>11</v>
      </c>
      <c r="P198" s="60" t="s">
        <v>778</v>
      </c>
      <c r="Q198" s="60" t="s">
        <v>24</v>
      </c>
      <c r="R198" s="60" t="s">
        <v>92</v>
      </c>
      <c r="S198" s="60" t="s">
        <v>23</v>
      </c>
      <c r="T198" s="60" t="s">
        <v>94</v>
      </c>
      <c r="U198" s="60" t="s">
        <v>90</v>
      </c>
      <c r="V198" s="60" t="s">
        <v>92</v>
      </c>
      <c r="W198" s="60" t="s">
        <v>90</v>
      </c>
      <c r="X198" s="63" t="s">
        <v>102</v>
      </c>
    </row>
    <row r="199" spans="1:24">
      <c r="A199" s="60">
        <v>265</v>
      </c>
      <c r="B199" s="61" t="s">
        <v>884</v>
      </c>
      <c r="C199" s="62" t="s">
        <v>885</v>
      </c>
      <c r="D199" s="62" t="s">
        <v>886</v>
      </c>
      <c r="E199" s="60" t="s">
        <v>98</v>
      </c>
      <c r="F199" s="60" t="s">
        <v>87</v>
      </c>
      <c r="G199" s="60" t="s">
        <v>142</v>
      </c>
      <c r="H199" s="60" t="s">
        <v>707</v>
      </c>
      <c r="I199" s="60" t="s">
        <v>101</v>
      </c>
      <c r="J199" s="60" t="s">
        <v>2</v>
      </c>
      <c r="K199" s="60" t="s">
        <v>2</v>
      </c>
      <c r="L199" s="60" t="s">
        <v>87</v>
      </c>
      <c r="M199" s="60">
        <v>64</v>
      </c>
      <c r="N199" s="60" t="s">
        <v>87</v>
      </c>
      <c r="O199" s="60">
        <v>10</v>
      </c>
      <c r="P199" s="60" t="s">
        <v>712</v>
      </c>
      <c r="Q199" s="60" t="s">
        <v>92</v>
      </c>
      <c r="R199" s="60" t="s">
        <v>20</v>
      </c>
      <c r="S199" s="60" t="s">
        <v>92</v>
      </c>
      <c r="T199" s="60" t="s">
        <v>94</v>
      </c>
      <c r="U199" s="60" t="s">
        <v>93</v>
      </c>
      <c r="V199" s="60" t="s">
        <v>94</v>
      </c>
      <c r="W199" s="60" t="s">
        <v>93</v>
      </c>
      <c r="X199" s="63" t="s">
        <v>102</v>
      </c>
    </row>
    <row r="200" spans="1:24">
      <c r="A200" s="60">
        <v>169</v>
      </c>
      <c r="B200" s="61" t="s">
        <v>297</v>
      </c>
      <c r="C200" s="62" t="s">
        <v>298</v>
      </c>
      <c r="D200" s="62" t="s">
        <v>299</v>
      </c>
      <c r="E200" s="60" t="s">
        <v>127</v>
      </c>
      <c r="F200" s="60" t="s">
        <v>87</v>
      </c>
      <c r="G200" s="60" t="s">
        <v>88</v>
      </c>
      <c r="H200" s="60" t="s">
        <v>100</v>
      </c>
      <c r="I200" s="60" t="s">
        <v>90</v>
      </c>
      <c r="J200" s="60" t="s">
        <v>2</v>
      </c>
      <c r="K200" s="60" t="s">
        <v>2</v>
      </c>
      <c r="L200" s="60">
        <v>176</v>
      </c>
      <c r="M200" s="60">
        <v>5</v>
      </c>
      <c r="N200" s="60">
        <v>9</v>
      </c>
      <c r="O200" s="60" t="s">
        <v>368</v>
      </c>
      <c r="P200" s="60" t="s">
        <v>340</v>
      </c>
      <c r="Q200" s="60" t="s">
        <v>19</v>
      </c>
      <c r="R200" s="60" t="s">
        <v>92</v>
      </c>
      <c r="S200" s="60" t="s">
        <v>92</v>
      </c>
      <c r="T200" s="60" t="s">
        <v>94</v>
      </c>
      <c r="U200" s="60" t="s">
        <v>108</v>
      </c>
      <c r="V200" s="60" t="s">
        <v>92</v>
      </c>
      <c r="W200" s="60" t="s">
        <v>93</v>
      </c>
      <c r="X200" s="63" t="s">
        <v>95</v>
      </c>
    </row>
    <row r="201" spans="1:24">
      <c r="A201" s="60">
        <v>569</v>
      </c>
      <c r="B201" s="61" t="s">
        <v>1331</v>
      </c>
      <c r="C201" s="62" t="s">
        <v>1332</v>
      </c>
      <c r="D201" s="62" t="s">
        <v>148</v>
      </c>
      <c r="E201" s="60" t="s">
        <v>127</v>
      </c>
      <c r="F201" s="60" t="s">
        <v>87</v>
      </c>
      <c r="G201" s="60" t="s">
        <v>147</v>
      </c>
      <c r="H201" s="60" t="s">
        <v>89</v>
      </c>
      <c r="I201" s="60" t="s">
        <v>90</v>
      </c>
      <c r="J201" s="60" t="s">
        <v>3</v>
      </c>
      <c r="K201" s="60" t="s">
        <v>3</v>
      </c>
      <c r="L201" s="60">
        <v>21</v>
      </c>
      <c r="M201" s="60">
        <v>27</v>
      </c>
      <c r="N201" s="60">
        <v>9</v>
      </c>
      <c r="O201" s="60" t="s">
        <v>695</v>
      </c>
      <c r="P201" s="60" t="s">
        <v>696</v>
      </c>
      <c r="Q201" s="60" t="s">
        <v>19</v>
      </c>
      <c r="R201" s="60" t="s">
        <v>21</v>
      </c>
      <c r="S201" s="60" t="s">
        <v>3</v>
      </c>
      <c r="T201" s="60" t="s">
        <v>94</v>
      </c>
      <c r="U201" s="60" t="s">
        <v>93</v>
      </c>
      <c r="V201" s="60" t="s">
        <v>92</v>
      </c>
      <c r="W201" s="60" t="s">
        <v>93</v>
      </c>
      <c r="X201" s="63" t="s">
        <v>95</v>
      </c>
    </row>
    <row r="202" spans="1:24">
      <c r="A202" s="60">
        <v>890</v>
      </c>
      <c r="B202" s="61" t="s">
        <v>301</v>
      </c>
      <c r="C202" s="62" t="s">
        <v>302</v>
      </c>
      <c r="D202" s="62" t="s">
        <v>303</v>
      </c>
      <c r="E202" s="60" t="s">
        <v>266</v>
      </c>
      <c r="F202" s="60" t="s">
        <v>87</v>
      </c>
      <c r="G202" s="60" t="s">
        <v>142</v>
      </c>
      <c r="H202" s="60" t="s">
        <v>100</v>
      </c>
      <c r="I202" s="60" t="s">
        <v>90</v>
      </c>
      <c r="J202" s="60" t="s">
        <v>3</v>
      </c>
      <c r="K202" s="60" t="s">
        <v>2</v>
      </c>
      <c r="L202" s="60">
        <v>86</v>
      </c>
      <c r="M202" s="60">
        <v>17</v>
      </c>
      <c r="N202" s="60">
        <v>4</v>
      </c>
      <c r="O202" s="60" t="s">
        <v>118</v>
      </c>
      <c r="P202" s="60" t="s">
        <v>174</v>
      </c>
      <c r="Q202" s="60" t="s">
        <v>92</v>
      </c>
      <c r="R202" s="60" t="s">
        <v>20</v>
      </c>
      <c r="S202" s="60" t="s">
        <v>92</v>
      </c>
      <c r="T202" s="60" t="s">
        <v>94</v>
      </c>
      <c r="U202" s="60" t="s">
        <v>90</v>
      </c>
      <c r="V202" s="60" t="s">
        <v>92</v>
      </c>
      <c r="W202" s="60" t="s">
        <v>108</v>
      </c>
      <c r="X202" s="63" t="s">
        <v>95</v>
      </c>
    </row>
    <row r="203" spans="1:24">
      <c r="A203" s="60">
        <v>1184</v>
      </c>
      <c r="B203" s="61" t="s">
        <v>1333</v>
      </c>
      <c r="C203" s="62" t="s">
        <v>1334</v>
      </c>
      <c r="D203" s="62" t="s">
        <v>1219</v>
      </c>
      <c r="E203" s="60" t="s">
        <v>163</v>
      </c>
      <c r="F203" s="60" t="s">
        <v>87</v>
      </c>
      <c r="G203" s="60" t="s">
        <v>182</v>
      </c>
      <c r="H203" s="60" t="s">
        <v>100</v>
      </c>
      <c r="I203" s="60" t="s">
        <v>101</v>
      </c>
      <c r="J203" s="60" t="s">
        <v>3</v>
      </c>
      <c r="K203" s="60" t="s">
        <v>3</v>
      </c>
      <c r="L203" s="60">
        <v>49</v>
      </c>
      <c r="M203" s="60">
        <v>20</v>
      </c>
      <c r="N203" s="60">
        <v>4</v>
      </c>
      <c r="O203" s="60" t="s">
        <v>118</v>
      </c>
      <c r="P203" s="60" t="s">
        <v>174</v>
      </c>
      <c r="Q203" s="60" t="s">
        <v>92</v>
      </c>
      <c r="R203" s="60" t="s">
        <v>92</v>
      </c>
      <c r="S203" s="60" t="s">
        <v>38</v>
      </c>
      <c r="T203" s="60" t="s">
        <v>92</v>
      </c>
      <c r="U203" s="60" t="s">
        <v>90</v>
      </c>
      <c r="V203" s="60" t="s">
        <v>92</v>
      </c>
      <c r="W203" s="60" t="s">
        <v>90</v>
      </c>
      <c r="X203" s="63" t="s">
        <v>102</v>
      </c>
    </row>
    <row r="204" spans="1:24">
      <c r="A204" s="60">
        <v>1226</v>
      </c>
      <c r="B204" s="61" t="s">
        <v>1587</v>
      </c>
      <c r="C204" s="62" t="s">
        <v>1588</v>
      </c>
      <c r="D204" s="62" t="s">
        <v>1589</v>
      </c>
      <c r="E204" s="60" t="s">
        <v>106</v>
      </c>
      <c r="F204" s="60" t="s">
        <v>170</v>
      </c>
      <c r="G204" s="60" t="s">
        <v>107</v>
      </c>
      <c r="H204" s="60" t="s">
        <v>89</v>
      </c>
      <c r="I204" s="60" t="s">
        <v>90</v>
      </c>
      <c r="J204" s="60" t="s">
        <v>2</v>
      </c>
      <c r="K204" s="60" t="s">
        <v>2</v>
      </c>
      <c r="L204" s="60">
        <v>200</v>
      </c>
      <c r="M204" s="60">
        <v>8</v>
      </c>
      <c r="N204" s="60">
        <v>2</v>
      </c>
      <c r="O204" s="60" t="s">
        <v>108</v>
      </c>
      <c r="P204" s="60" t="s">
        <v>113</v>
      </c>
      <c r="Q204" s="60" t="s">
        <v>92</v>
      </c>
      <c r="R204" s="60" t="s">
        <v>20</v>
      </c>
      <c r="S204" s="60" t="s">
        <v>23</v>
      </c>
      <c r="T204" s="60" t="s">
        <v>94</v>
      </c>
      <c r="U204" s="60" t="s">
        <v>93</v>
      </c>
      <c r="V204" s="60" t="s">
        <v>92</v>
      </c>
      <c r="W204" s="60" t="s">
        <v>90</v>
      </c>
      <c r="X204" s="63" t="s">
        <v>95</v>
      </c>
    </row>
    <row r="205" spans="1:24">
      <c r="A205" s="60">
        <v>939</v>
      </c>
      <c r="B205" s="61" t="s">
        <v>305</v>
      </c>
      <c r="C205" s="62" t="s">
        <v>306</v>
      </c>
      <c r="D205" s="62" t="s">
        <v>307</v>
      </c>
      <c r="E205" s="60" t="s">
        <v>146</v>
      </c>
      <c r="F205" s="60" t="s">
        <v>87</v>
      </c>
      <c r="G205" s="60" t="s">
        <v>171</v>
      </c>
      <c r="H205" s="60" t="s">
        <v>707</v>
      </c>
      <c r="I205" s="60" t="s">
        <v>90</v>
      </c>
      <c r="J205" s="60" t="s">
        <v>2</v>
      </c>
      <c r="K205" s="60" t="s">
        <v>2</v>
      </c>
      <c r="L205" s="60" t="s">
        <v>87</v>
      </c>
      <c r="M205" s="60">
        <v>14</v>
      </c>
      <c r="N205" s="60" t="s">
        <v>87</v>
      </c>
      <c r="O205" s="60">
        <v>9</v>
      </c>
      <c r="P205" s="60" t="s">
        <v>744</v>
      </c>
      <c r="Q205" s="60" t="s">
        <v>92</v>
      </c>
      <c r="R205" s="60" t="s">
        <v>92</v>
      </c>
      <c r="S205" s="60" t="s">
        <v>23</v>
      </c>
      <c r="T205" s="60" t="s">
        <v>94</v>
      </c>
      <c r="U205" s="60" t="s">
        <v>108</v>
      </c>
      <c r="V205" s="60" t="s">
        <v>92</v>
      </c>
      <c r="W205" s="60" t="s">
        <v>93</v>
      </c>
      <c r="X205" s="63" t="s">
        <v>95</v>
      </c>
    </row>
    <row r="206" spans="1:24">
      <c r="A206" s="60">
        <v>500</v>
      </c>
      <c r="B206" s="61" t="s">
        <v>1335</v>
      </c>
      <c r="C206" s="62" t="s">
        <v>1336</v>
      </c>
      <c r="D206" s="62" t="s">
        <v>299</v>
      </c>
      <c r="E206" s="60" t="s">
        <v>149</v>
      </c>
      <c r="F206" s="60" t="s">
        <v>87</v>
      </c>
      <c r="G206" s="60" t="s">
        <v>107</v>
      </c>
      <c r="H206" s="60" t="s">
        <v>100</v>
      </c>
      <c r="I206" s="60" t="s">
        <v>90</v>
      </c>
      <c r="J206" s="60" t="s">
        <v>2</v>
      </c>
      <c r="K206" s="60" t="s">
        <v>2</v>
      </c>
      <c r="L206" s="60">
        <v>84</v>
      </c>
      <c r="M206" s="60">
        <v>3</v>
      </c>
      <c r="N206" s="60">
        <v>3</v>
      </c>
      <c r="O206" s="60" t="s">
        <v>108</v>
      </c>
      <c r="P206" s="60" t="s">
        <v>134</v>
      </c>
      <c r="Q206" s="60" t="s">
        <v>22</v>
      </c>
      <c r="R206" s="60" t="s">
        <v>92</v>
      </c>
      <c r="S206" s="60" t="s">
        <v>3</v>
      </c>
      <c r="T206" s="60" t="s">
        <v>92</v>
      </c>
      <c r="U206" s="60" t="s">
        <v>108</v>
      </c>
      <c r="V206" s="60" t="s">
        <v>92</v>
      </c>
      <c r="W206" s="60" t="s">
        <v>90</v>
      </c>
      <c r="X206" s="63" t="s">
        <v>95</v>
      </c>
    </row>
    <row r="207" spans="1:24">
      <c r="A207" s="60">
        <v>1110</v>
      </c>
      <c r="B207" s="61" t="s">
        <v>309</v>
      </c>
      <c r="C207" s="62" t="s">
        <v>310</v>
      </c>
      <c r="D207" s="62" t="s">
        <v>311</v>
      </c>
      <c r="E207" s="60" t="s">
        <v>186</v>
      </c>
      <c r="F207" s="60" t="s">
        <v>87</v>
      </c>
      <c r="G207" s="60" t="s">
        <v>158</v>
      </c>
      <c r="H207" s="60" t="s">
        <v>707</v>
      </c>
      <c r="I207" s="60" t="s">
        <v>101</v>
      </c>
      <c r="J207" s="60" t="s">
        <v>3</v>
      </c>
      <c r="K207" s="60" t="s">
        <v>3</v>
      </c>
      <c r="L207" s="60" t="s">
        <v>87</v>
      </c>
      <c r="M207" s="60">
        <v>22</v>
      </c>
      <c r="N207" s="60" t="s">
        <v>87</v>
      </c>
      <c r="O207" s="60">
        <v>4</v>
      </c>
      <c r="P207" s="60" t="s">
        <v>754</v>
      </c>
      <c r="Q207" s="60" t="s">
        <v>22</v>
      </c>
      <c r="R207" s="60" t="s">
        <v>21</v>
      </c>
      <c r="S207" s="60" t="s">
        <v>92</v>
      </c>
      <c r="T207" s="60" t="s">
        <v>94</v>
      </c>
      <c r="U207" s="60" t="s">
        <v>108</v>
      </c>
      <c r="V207" s="60" t="s">
        <v>92</v>
      </c>
      <c r="W207" s="60" t="s">
        <v>93</v>
      </c>
      <c r="X207" s="63" t="s">
        <v>102</v>
      </c>
    </row>
    <row r="208" spans="1:24">
      <c r="A208" s="60">
        <v>509</v>
      </c>
      <c r="B208" s="61" t="s">
        <v>888</v>
      </c>
      <c r="C208" s="62" t="s">
        <v>889</v>
      </c>
      <c r="D208" s="62" t="s">
        <v>364</v>
      </c>
      <c r="E208" s="60" t="s">
        <v>127</v>
      </c>
      <c r="F208" s="60" t="s">
        <v>87</v>
      </c>
      <c r="G208" s="60" t="s">
        <v>402</v>
      </c>
      <c r="H208" s="60" t="s">
        <v>707</v>
      </c>
      <c r="I208" s="60" t="s">
        <v>101</v>
      </c>
      <c r="J208" s="60" t="s">
        <v>2</v>
      </c>
      <c r="K208" s="60" t="s">
        <v>2</v>
      </c>
      <c r="L208" s="60" t="s">
        <v>87</v>
      </c>
      <c r="M208" s="60">
        <v>28</v>
      </c>
      <c r="N208" s="60" t="s">
        <v>87</v>
      </c>
      <c r="O208" s="60">
        <v>23</v>
      </c>
      <c r="P208" s="60" t="s">
        <v>847</v>
      </c>
      <c r="Q208" s="60" t="s">
        <v>92</v>
      </c>
      <c r="R208" s="60" t="s">
        <v>21</v>
      </c>
      <c r="S208" s="60" t="s">
        <v>23</v>
      </c>
      <c r="T208" s="60" t="s">
        <v>94</v>
      </c>
      <c r="U208" s="60" t="s">
        <v>108</v>
      </c>
      <c r="V208" s="60" t="s">
        <v>94</v>
      </c>
      <c r="W208" s="60" t="s">
        <v>93</v>
      </c>
      <c r="X208" s="63" t="s">
        <v>102</v>
      </c>
    </row>
    <row r="209" spans="1:24">
      <c r="A209" s="60">
        <v>417</v>
      </c>
      <c r="B209" s="61" t="s">
        <v>891</v>
      </c>
      <c r="C209" s="62" t="s">
        <v>890</v>
      </c>
      <c r="D209" s="62" t="s">
        <v>281</v>
      </c>
      <c r="E209" s="60" t="s">
        <v>249</v>
      </c>
      <c r="F209" s="60" t="s">
        <v>87</v>
      </c>
      <c r="G209" s="60" t="s">
        <v>164</v>
      </c>
      <c r="H209" s="60" t="s">
        <v>707</v>
      </c>
      <c r="I209" s="60" t="s">
        <v>101</v>
      </c>
      <c r="J209" s="60" t="s">
        <v>2</v>
      </c>
      <c r="K209" s="60" t="s">
        <v>3</v>
      </c>
      <c r="L209" s="60" t="s">
        <v>87</v>
      </c>
      <c r="M209" s="60">
        <v>39</v>
      </c>
      <c r="N209" s="60" t="s">
        <v>87</v>
      </c>
      <c r="O209" s="60">
        <v>15</v>
      </c>
      <c r="P209" s="60" t="s">
        <v>836</v>
      </c>
      <c r="Q209" s="60" t="s">
        <v>19</v>
      </c>
      <c r="R209" s="60" t="s">
        <v>21</v>
      </c>
      <c r="S209" s="60" t="s">
        <v>92</v>
      </c>
      <c r="T209" s="60" t="s">
        <v>94</v>
      </c>
      <c r="U209" s="60" t="s">
        <v>93</v>
      </c>
      <c r="V209" s="60" t="s">
        <v>92</v>
      </c>
      <c r="W209" s="60" t="s">
        <v>93</v>
      </c>
      <c r="X209" s="63" t="s">
        <v>102</v>
      </c>
    </row>
    <row r="210" spans="1:24">
      <c r="A210" s="60">
        <v>621</v>
      </c>
      <c r="B210" s="61" t="s">
        <v>1337</v>
      </c>
      <c r="C210" s="62" t="s">
        <v>1338</v>
      </c>
      <c r="D210" s="62" t="s">
        <v>206</v>
      </c>
      <c r="E210" s="60" t="s">
        <v>154</v>
      </c>
      <c r="F210" s="60" t="s">
        <v>87</v>
      </c>
      <c r="G210" s="60" t="s">
        <v>117</v>
      </c>
      <c r="H210" s="60" t="s">
        <v>100</v>
      </c>
      <c r="I210" s="60" t="s">
        <v>101</v>
      </c>
      <c r="J210" s="60" t="s">
        <v>2</v>
      </c>
      <c r="K210" s="60" t="s">
        <v>2</v>
      </c>
      <c r="L210" s="60">
        <v>72</v>
      </c>
      <c r="M210" s="60">
        <v>7</v>
      </c>
      <c r="N210" s="60">
        <v>5</v>
      </c>
      <c r="O210" s="60" t="s">
        <v>166</v>
      </c>
      <c r="P210" s="60" t="s">
        <v>288</v>
      </c>
      <c r="Q210" s="60" t="s">
        <v>92</v>
      </c>
      <c r="R210" s="60" t="s">
        <v>92</v>
      </c>
      <c r="S210" s="60" t="s">
        <v>92</v>
      </c>
      <c r="T210" s="60" t="s">
        <v>94</v>
      </c>
      <c r="U210" s="60" t="s">
        <v>108</v>
      </c>
      <c r="V210" s="60" t="s">
        <v>92</v>
      </c>
      <c r="W210" s="60" t="s">
        <v>101</v>
      </c>
      <c r="X210" s="63" t="s">
        <v>102</v>
      </c>
    </row>
    <row r="211" spans="1:24">
      <c r="A211" s="60">
        <v>592</v>
      </c>
      <c r="B211" s="61" t="s">
        <v>1339</v>
      </c>
      <c r="C211" s="62" t="s">
        <v>1340</v>
      </c>
      <c r="D211" s="62" t="s">
        <v>1293</v>
      </c>
      <c r="E211" s="60" t="s">
        <v>163</v>
      </c>
      <c r="F211" s="60" t="s">
        <v>87</v>
      </c>
      <c r="G211" s="60" t="s">
        <v>99</v>
      </c>
      <c r="H211" s="60" t="s">
        <v>707</v>
      </c>
      <c r="I211" s="60" t="s">
        <v>101</v>
      </c>
      <c r="J211" s="60" t="s">
        <v>2</v>
      </c>
      <c r="K211" s="60" t="s">
        <v>3</v>
      </c>
      <c r="L211" s="60" t="s">
        <v>87</v>
      </c>
      <c r="M211" s="60">
        <v>59</v>
      </c>
      <c r="N211" s="60" t="s">
        <v>87</v>
      </c>
      <c r="O211" s="60">
        <v>4</v>
      </c>
      <c r="P211" s="60" t="s">
        <v>754</v>
      </c>
      <c r="Q211" s="60" t="s">
        <v>92</v>
      </c>
      <c r="R211" s="60" t="s">
        <v>92</v>
      </c>
      <c r="S211" s="60" t="s">
        <v>92</v>
      </c>
      <c r="T211" s="60" t="s">
        <v>94</v>
      </c>
      <c r="U211" s="60" t="s">
        <v>108</v>
      </c>
      <c r="V211" s="60" t="s">
        <v>92</v>
      </c>
      <c r="W211" s="60" t="s">
        <v>90</v>
      </c>
      <c r="X211" s="63" t="s">
        <v>102</v>
      </c>
    </row>
    <row r="212" spans="1:24">
      <c r="A212" s="60">
        <v>390</v>
      </c>
      <c r="B212" s="61" t="s">
        <v>892</v>
      </c>
      <c r="C212" s="62" t="s">
        <v>893</v>
      </c>
      <c r="D212" s="62" t="s">
        <v>894</v>
      </c>
      <c r="E212" s="60" t="s">
        <v>123</v>
      </c>
      <c r="F212" s="60" t="s">
        <v>87</v>
      </c>
      <c r="G212" s="60" t="s">
        <v>182</v>
      </c>
      <c r="H212" s="60" t="s">
        <v>707</v>
      </c>
      <c r="I212" s="60" t="s">
        <v>90</v>
      </c>
      <c r="J212" s="60" t="s">
        <v>2</v>
      </c>
      <c r="K212" s="60" t="s">
        <v>2</v>
      </c>
      <c r="L212" s="60" t="s">
        <v>87</v>
      </c>
      <c r="M212" s="60">
        <v>24</v>
      </c>
      <c r="N212" s="60" t="s">
        <v>87</v>
      </c>
      <c r="O212" s="60">
        <v>6</v>
      </c>
      <c r="P212" s="60" t="s">
        <v>740</v>
      </c>
      <c r="Q212" s="60" t="s">
        <v>22</v>
      </c>
      <c r="R212" s="60" t="s">
        <v>21</v>
      </c>
      <c r="S212" s="60" t="s">
        <v>38</v>
      </c>
      <c r="T212" s="60" t="s">
        <v>94</v>
      </c>
      <c r="U212" s="60" t="s">
        <v>108</v>
      </c>
      <c r="V212" s="60" t="s">
        <v>92</v>
      </c>
      <c r="W212" s="60" t="s">
        <v>93</v>
      </c>
      <c r="X212" s="63" t="s">
        <v>95</v>
      </c>
    </row>
    <row r="213" spans="1:24">
      <c r="A213" s="60">
        <v>1100</v>
      </c>
      <c r="B213" s="61" t="s">
        <v>895</v>
      </c>
      <c r="C213" s="62" t="s">
        <v>896</v>
      </c>
      <c r="D213" s="62" t="s">
        <v>897</v>
      </c>
      <c r="E213" s="60" t="s">
        <v>249</v>
      </c>
      <c r="F213" s="60" t="s">
        <v>170</v>
      </c>
      <c r="G213" s="60" t="s">
        <v>158</v>
      </c>
      <c r="H213" s="60" t="s">
        <v>707</v>
      </c>
      <c r="I213" s="60" t="s">
        <v>90</v>
      </c>
      <c r="J213" s="60" t="s">
        <v>3</v>
      </c>
      <c r="K213" s="60" t="s">
        <v>2</v>
      </c>
      <c r="L213" s="60" t="s">
        <v>87</v>
      </c>
      <c r="M213" s="60">
        <v>100</v>
      </c>
      <c r="N213" s="60" t="s">
        <v>87</v>
      </c>
      <c r="O213" s="60">
        <v>1</v>
      </c>
      <c r="P213" s="60" t="s">
        <v>729</v>
      </c>
      <c r="Q213" s="60" t="s">
        <v>92</v>
      </c>
      <c r="R213" s="60" t="s">
        <v>92</v>
      </c>
      <c r="S213" s="60" t="s">
        <v>38</v>
      </c>
      <c r="T213" s="60" t="s">
        <v>92</v>
      </c>
      <c r="U213" s="60" t="s">
        <v>101</v>
      </c>
      <c r="V213" s="60" t="s">
        <v>92</v>
      </c>
      <c r="W213" s="60" t="s">
        <v>93</v>
      </c>
      <c r="X213" s="63" t="s">
        <v>95</v>
      </c>
    </row>
    <row r="214" spans="1:24">
      <c r="A214" s="60">
        <v>357</v>
      </c>
      <c r="B214" s="61" t="s">
        <v>898</v>
      </c>
      <c r="C214" s="62" t="s">
        <v>899</v>
      </c>
      <c r="D214" s="62" t="s">
        <v>456</v>
      </c>
      <c r="E214" s="60" t="s">
        <v>152</v>
      </c>
      <c r="F214" s="60" t="s">
        <v>87</v>
      </c>
      <c r="G214" s="60" t="s">
        <v>182</v>
      </c>
      <c r="H214" s="60" t="s">
        <v>707</v>
      </c>
      <c r="I214" s="60" t="s">
        <v>90</v>
      </c>
      <c r="J214" s="60" t="s">
        <v>3</v>
      </c>
      <c r="K214" s="60" t="s">
        <v>3</v>
      </c>
      <c r="L214" s="60" t="s">
        <v>87</v>
      </c>
      <c r="M214" s="60">
        <v>22</v>
      </c>
      <c r="N214" s="60" t="s">
        <v>87</v>
      </c>
      <c r="O214" s="60">
        <v>14</v>
      </c>
      <c r="P214" s="60" t="s">
        <v>794</v>
      </c>
      <c r="Q214" s="60" t="s">
        <v>22</v>
      </c>
      <c r="R214" s="60" t="s">
        <v>20</v>
      </c>
      <c r="S214" s="60" t="s">
        <v>92</v>
      </c>
      <c r="T214" s="60" t="s">
        <v>94</v>
      </c>
      <c r="U214" s="60" t="s">
        <v>108</v>
      </c>
      <c r="V214" s="60" t="s">
        <v>92</v>
      </c>
      <c r="W214" s="60" t="s">
        <v>90</v>
      </c>
      <c r="X214" s="63" t="s">
        <v>95</v>
      </c>
    </row>
    <row r="215" spans="1:24">
      <c r="A215" s="60">
        <v>407</v>
      </c>
      <c r="B215" s="61" t="s">
        <v>312</v>
      </c>
      <c r="C215" s="62" t="s">
        <v>313</v>
      </c>
      <c r="D215" s="62" t="s">
        <v>314</v>
      </c>
      <c r="E215" s="60" t="s">
        <v>249</v>
      </c>
      <c r="F215" s="60" t="s">
        <v>87</v>
      </c>
      <c r="G215" s="60" t="s">
        <v>182</v>
      </c>
      <c r="H215" s="60" t="s">
        <v>100</v>
      </c>
      <c r="I215" s="60" t="s">
        <v>101</v>
      </c>
      <c r="J215" s="60" t="s">
        <v>2</v>
      </c>
      <c r="K215" s="60" t="s">
        <v>2</v>
      </c>
      <c r="L215" s="60">
        <v>185</v>
      </c>
      <c r="M215" s="60" t="s">
        <v>87</v>
      </c>
      <c r="N215" s="60">
        <v>12</v>
      </c>
      <c r="O215" s="60" t="s">
        <v>87</v>
      </c>
      <c r="P215" s="60">
        <v>12</v>
      </c>
      <c r="Q215" s="60" t="s">
        <v>92</v>
      </c>
      <c r="R215" s="60" t="s">
        <v>92</v>
      </c>
      <c r="S215" s="60" t="s">
        <v>37</v>
      </c>
      <c r="T215" s="60" t="s">
        <v>94</v>
      </c>
      <c r="U215" s="60" t="s">
        <v>108</v>
      </c>
      <c r="V215" s="60" t="s">
        <v>92</v>
      </c>
      <c r="W215" s="60" t="s">
        <v>90</v>
      </c>
      <c r="X215" s="63" t="s">
        <v>102</v>
      </c>
    </row>
    <row r="216" spans="1:24">
      <c r="A216" s="60">
        <v>838</v>
      </c>
      <c r="B216" s="61" t="s">
        <v>1341</v>
      </c>
      <c r="C216" s="62" t="s">
        <v>1342</v>
      </c>
      <c r="D216" s="62" t="s">
        <v>887</v>
      </c>
      <c r="E216" s="60" t="s">
        <v>209</v>
      </c>
      <c r="F216" s="60" t="s">
        <v>87</v>
      </c>
      <c r="G216" s="60" t="s">
        <v>117</v>
      </c>
      <c r="H216" s="60" t="s">
        <v>89</v>
      </c>
      <c r="I216" s="60" t="s">
        <v>90</v>
      </c>
      <c r="J216" s="60" t="s">
        <v>3</v>
      </c>
      <c r="K216" s="60" t="s">
        <v>3</v>
      </c>
      <c r="L216" s="60">
        <v>5</v>
      </c>
      <c r="M216" s="60">
        <v>36</v>
      </c>
      <c r="N216" s="60">
        <v>4</v>
      </c>
      <c r="O216" s="60" t="s">
        <v>166</v>
      </c>
      <c r="P216" s="60" t="s">
        <v>167</v>
      </c>
      <c r="Q216" s="60" t="s">
        <v>92</v>
      </c>
      <c r="R216" s="60" t="s">
        <v>21</v>
      </c>
      <c r="S216" s="60" t="s">
        <v>38</v>
      </c>
      <c r="T216" s="60" t="s">
        <v>94</v>
      </c>
      <c r="U216" s="60" t="s">
        <v>108</v>
      </c>
      <c r="V216" s="60" t="s">
        <v>92</v>
      </c>
      <c r="W216" s="60" t="s">
        <v>90</v>
      </c>
      <c r="X216" s="63" t="s">
        <v>95</v>
      </c>
    </row>
    <row r="217" spans="1:24">
      <c r="A217" s="60">
        <v>800</v>
      </c>
      <c r="B217" s="61" t="s">
        <v>316</v>
      </c>
      <c r="C217" s="62" t="s">
        <v>315</v>
      </c>
      <c r="D217" s="62" t="s">
        <v>317</v>
      </c>
      <c r="E217" s="60" t="s">
        <v>318</v>
      </c>
      <c r="F217" s="60" t="s">
        <v>87</v>
      </c>
      <c r="G217" s="60" t="s">
        <v>164</v>
      </c>
      <c r="H217" s="60" t="s">
        <v>100</v>
      </c>
      <c r="I217" s="60" t="s">
        <v>90</v>
      </c>
      <c r="J217" s="60" t="s">
        <v>3</v>
      </c>
      <c r="K217" s="60" t="s">
        <v>3</v>
      </c>
      <c r="L217" s="60">
        <v>130</v>
      </c>
      <c r="M217" s="60" t="s">
        <v>87</v>
      </c>
      <c r="N217" s="60">
        <v>16</v>
      </c>
      <c r="O217" s="60" t="s">
        <v>87</v>
      </c>
      <c r="P217" s="60">
        <v>16</v>
      </c>
      <c r="Q217" s="60" t="s">
        <v>22</v>
      </c>
      <c r="R217" s="60" t="s">
        <v>92</v>
      </c>
      <c r="S217" s="60" t="s">
        <v>37</v>
      </c>
      <c r="T217" s="60" t="s">
        <v>94</v>
      </c>
      <c r="U217" s="60" t="s">
        <v>101</v>
      </c>
      <c r="V217" s="60" t="s">
        <v>92</v>
      </c>
      <c r="W217" s="60" t="s">
        <v>90</v>
      </c>
      <c r="X217" s="63" t="s">
        <v>95</v>
      </c>
    </row>
    <row r="218" spans="1:24">
      <c r="A218" s="60">
        <v>30</v>
      </c>
      <c r="B218" s="61" t="s">
        <v>1590</v>
      </c>
      <c r="C218" s="62" t="s">
        <v>315</v>
      </c>
      <c r="D218" s="62" t="s">
        <v>364</v>
      </c>
      <c r="E218" s="60" t="s">
        <v>178</v>
      </c>
      <c r="F218" s="60" t="s">
        <v>87</v>
      </c>
      <c r="G218" s="60" t="s">
        <v>147</v>
      </c>
      <c r="H218" s="60" t="s">
        <v>707</v>
      </c>
      <c r="I218" s="60" t="s">
        <v>90</v>
      </c>
      <c r="J218" s="60" t="s">
        <v>2</v>
      </c>
      <c r="K218" s="60" t="s">
        <v>2</v>
      </c>
      <c r="L218" s="60" t="s">
        <v>87</v>
      </c>
      <c r="M218" s="60">
        <v>30</v>
      </c>
      <c r="N218" s="60" t="s">
        <v>87</v>
      </c>
      <c r="O218" s="60">
        <v>7</v>
      </c>
      <c r="P218" s="60" t="s">
        <v>722</v>
      </c>
      <c r="Q218" s="60" t="s">
        <v>92</v>
      </c>
      <c r="R218" s="60" t="s">
        <v>21</v>
      </c>
      <c r="S218" s="60" t="s">
        <v>92</v>
      </c>
      <c r="T218" s="60" t="s">
        <v>94</v>
      </c>
      <c r="U218" s="60" t="s">
        <v>108</v>
      </c>
      <c r="V218" s="60" t="s">
        <v>92</v>
      </c>
      <c r="W218" s="60" t="s">
        <v>93</v>
      </c>
      <c r="X218" s="63" t="s">
        <v>95</v>
      </c>
    </row>
    <row r="219" spans="1:24">
      <c r="A219" s="60">
        <v>742</v>
      </c>
      <c r="B219" s="61" t="s">
        <v>900</v>
      </c>
      <c r="C219" s="62" t="s">
        <v>315</v>
      </c>
      <c r="D219" s="62" t="s">
        <v>494</v>
      </c>
      <c r="E219" s="60" t="s">
        <v>226</v>
      </c>
      <c r="F219" s="60" t="s">
        <v>87</v>
      </c>
      <c r="G219" s="60" t="s">
        <v>164</v>
      </c>
      <c r="H219" s="60" t="s">
        <v>707</v>
      </c>
      <c r="I219" s="60" t="s">
        <v>101</v>
      </c>
      <c r="J219" s="60" t="s">
        <v>2</v>
      </c>
      <c r="K219" s="60" t="s">
        <v>2</v>
      </c>
      <c r="L219" s="60" t="s">
        <v>87</v>
      </c>
      <c r="M219" s="60">
        <v>67</v>
      </c>
      <c r="N219" s="60" t="s">
        <v>87</v>
      </c>
      <c r="O219" s="60">
        <v>13</v>
      </c>
      <c r="P219" s="60" t="s">
        <v>718</v>
      </c>
      <c r="Q219" s="60" t="s">
        <v>22</v>
      </c>
      <c r="R219" s="60" t="s">
        <v>21</v>
      </c>
      <c r="S219" s="60" t="s">
        <v>37</v>
      </c>
      <c r="T219" s="60" t="s">
        <v>92</v>
      </c>
      <c r="U219" s="60" t="s">
        <v>108</v>
      </c>
      <c r="V219" s="60" t="s">
        <v>94</v>
      </c>
      <c r="W219" s="60" t="s">
        <v>90</v>
      </c>
      <c r="X219" s="63" t="s">
        <v>102</v>
      </c>
    </row>
    <row r="220" spans="1:24">
      <c r="A220" s="60">
        <v>625</v>
      </c>
      <c r="B220" s="61" t="s">
        <v>1343</v>
      </c>
      <c r="C220" s="62" t="s">
        <v>315</v>
      </c>
      <c r="D220" s="62" t="s">
        <v>1344</v>
      </c>
      <c r="E220" s="60" t="s">
        <v>154</v>
      </c>
      <c r="F220" s="60" t="s">
        <v>87</v>
      </c>
      <c r="G220" s="60" t="s">
        <v>112</v>
      </c>
      <c r="H220" s="60" t="s">
        <v>89</v>
      </c>
      <c r="I220" s="60" t="s">
        <v>101</v>
      </c>
      <c r="J220" s="60" t="s">
        <v>2</v>
      </c>
      <c r="K220" s="60" t="s">
        <v>2</v>
      </c>
      <c r="L220" s="60">
        <v>5</v>
      </c>
      <c r="M220" s="60">
        <v>55</v>
      </c>
      <c r="N220" s="60">
        <v>4</v>
      </c>
      <c r="O220" s="60" t="s">
        <v>368</v>
      </c>
      <c r="P220" s="60" t="s">
        <v>1591</v>
      </c>
      <c r="Q220" s="60" t="s">
        <v>24</v>
      </c>
      <c r="R220" s="60" t="s">
        <v>20</v>
      </c>
      <c r="S220" s="60" t="s">
        <v>3</v>
      </c>
      <c r="T220" s="60" t="s">
        <v>94</v>
      </c>
      <c r="U220" s="60" t="s">
        <v>90</v>
      </c>
      <c r="V220" s="60" t="s">
        <v>92</v>
      </c>
      <c r="W220" s="60" t="s">
        <v>93</v>
      </c>
      <c r="X220" s="63" t="s">
        <v>102</v>
      </c>
    </row>
    <row r="221" spans="1:24">
      <c r="A221" s="60">
        <v>677</v>
      </c>
      <c r="B221" s="61" t="s">
        <v>320</v>
      </c>
      <c r="C221" s="62" t="s">
        <v>321</v>
      </c>
      <c r="D221" s="62" t="s">
        <v>201</v>
      </c>
      <c r="E221" s="60" t="s">
        <v>42</v>
      </c>
      <c r="F221" s="60" t="s">
        <v>87</v>
      </c>
      <c r="G221" s="60" t="s">
        <v>142</v>
      </c>
      <c r="H221" s="60" t="s">
        <v>100</v>
      </c>
      <c r="I221" s="60" t="s">
        <v>90</v>
      </c>
      <c r="J221" s="60" t="s">
        <v>2</v>
      </c>
      <c r="K221" s="60" t="s">
        <v>2</v>
      </c>
      <c r="L221" s="60">
        <v>144</v>
      </c>
      <c r="M221" s="60">
        <v>5</v>
      </c>
      <c r="N221" s="60">
        <v>3</v>
      </c>
      <c r="O221" s="60" t="s">
        <v>108</v>
      </c>
      <c r="P221" s="60" t="s">
        <v>134</v>
      </c>
      <c r="Q221" s="60" t="s">
        <v>92</v>
      </c>
      <c r="R221" s="60" t="s">
        <v>92</v>
      </c>
      <c r="S221" s="60" t="s">
        <v>3</v>
      </c>
      <c r="T221" s="60" t="s">
        <v>94</v>
      </c>
      <c r="U221" s="60" t="s">
        <v>108</v>
      </c>
      <c r="V221" s="60" t="s">
        <v>92</v>
      </c>
      <c r="W221" s="60" t="s">
        <v>90</v>
      </c>
      <c r="X221" s="63" t="s">
        <v>95</v>
      </c>
    </row>
    <row r="222" spans="1:24">
      <c r="A222" s="60">
        <v>20</v>
      </c>
      <c r="B222" s="61" t="s">
        <v>323</v>
      </c>
      <c r="C222" s="62" t="s">
        <v>324</v>
      </c>
      <c r="D222" s="62" t="s">
        <v>238</v>
      </c>
      <c r="E222" s="60" t="s">
        <v>178</v>
      </c>
      <c r="F222" s="60" t="s">
        <v>87</v>
      </c>
      <c r="G222" s="60" t="s">
        <v>112</v>
      </c>
      <c r="H222" s="60" t="s">
        <v>100</v>
      </c>
      <c r="I222" s="60" t="s">
        <v>101</v>
      </c>
      <c r="J222" s="60" t="s">
        <v>3</v>
      </c>
      <c r="K222" s="60" t="s">
        <v>2</v>
      </c>
      <c r="L222" s="60">
        <v>101</v>
      </c>
      <c r="M222" s="60">
        <v>12</v>
      </c>
      <c r="N222" s="60">
        <v>4</v>
      </c>
      <c r="O222" s="60" t="s">
        <v>118</v>
      </c>
      <c r="P222" s="60" t="s">
        <v>174</v>
      </c>
      <c r="Q222" s="60" t="s">
        <v>22</v>
      </c>
      <c r="R222" s="60" t="s">
        <v>20</v>
      </c>
      <c r="S222" s="60" t="s">
        <v>3</v>
      </c>
      <c r="T222" s="60" t="s">
        <v>94</v>
      </c>
      <c r="U222" s="60" t="s">
        <v>108</v>
      </c>
      <c r="V222" s="60" t="s">
        <v>92</v>
      </c>
      <c r="W222" s="60" t="s">
        <v>90</v>
      </c>
      <c r="X222" s="63" t="s">
        <v>102</v>
      </c>
    </row>
    <row r="223" spans="1:24">
      <c r="A223" s="60">
        <v>1334</v>
      </c>
      <c r="B223" s="61" t="s">
        <v>1592</v>
      </c>
      <c r="C223" s="62" t="s">
        <v>1593</v>
      </c>
      <c r="D223" s="62" t="s">
        <v>795</v>
      </c>
      <c r="E223" s="60" t="s">
        <v>190</v>
      </c>
      <c r="F223" s="60" t="s">
        <v>87</v>
      </c>
      <c r="G223" s="60" t="s">
        <v>182</v>
      </c>
      <c r="H223" s="60" t="s">
        <v>707</v>
      </c>
      <c r="I223" s="60" t="s">
        <v>90</v>
      </c>
      <c r="J223" s="60" t="s">
        <v>2</v>
      </c>
      <c r="K223" s="60" t="s">
        <v>2</v>
      </c>
      <c r="L223" s="60" t="s">
        <v>87</v>
      </c>
      <c r="M223" s="60">
        <v>4</v>
      </c>
      <c r="N223" s="60" t="s">
        <v>87</v>
      </c>
      <c r="O223" s="60">
        <v>3</v>
      </c>
      <c r="P223" s="60" t="s">
        <v>727</v>
      </c>
      <c r="Q223" s="60" t="s">
        <v>24</v>
      </c>
      <c r="R223" s="60" t="s">
        <v>92</v>
      </c>
      <c r="S223" s="60" t="s">
        <v>92</v>
      </c>
      <c r="T223" s="60" t="s">
        <v>92</v>
      </c>
      <c r="U223" s="60" t="s">
        <v>101</v>
      </c>
      <c r="V223" s="60" t="s">
        <v>92</v>
      </c>
      <c r="W223" s="60" t="s">
        <v>90</v>
      </c>
      <c r="X223" s="63" t="s">
        <v>95</v>
      </c>
    </row>
    <row r="224" spans="1:24">
      <c r="A224" s="60">
        <v>1250</v>
      </c>
      <c r="B224" s="61" t="s">
        <v>325</v>
      </c>
      <c r="C224" s="62" t="s">
        <v>326</v>
      </c>
      <c r="D224" s="62" t="s">
        <v>327</v>
      </c>
      <c r="E224" s="60" t="s">
        <v>328</v>
      </c>
      <c r="F224" s="60" t="s">
        <v>170</v>
      </c>
      <c r="G224" s="60" t="s">
        <v>182</v>
      </c>
      <c r="H224" s="60" t="s">
        <v>100</v>
      </c>
      <c r="I224" s="60" t="s">
        <v>90</v>
      </c>
      <c r="J224" s="60" t="s">
        <v>2</v>
      </c>
      <c r="K224" s="60" t="s">
        <v>2</v>
      </c>
      <c r="L224" s="60">
        <v>200</v>
      </c>
      <c r="M224" s="60">
        <v>100</v>
      </c>
      <c r="N224" s="60">
        <v>2</v>
      </c>
      <c r="O224" s="60">
        <v>1</v>
      </c>
      <c r="P224" s="60" t="s">
        <v>172</v>
      </c>
      <c r="Q224" s="60" t="s">
        <v>92</v>
      </c>
      <c r="R224" s="60" t="s">
        <v>20</v>
      </c>
      <c r="S224" s="60" t="s">
        <v>92</v>
      </c>
      <c r="T224" s="60" t="s">
        <v>94</v>
      </c>
      <c r="U224" s="60" t="s">
        <v>93</v>
      </c>
      <c r="V224" s="60" t="s">
        <v>92</v>
      </c>
      <c r="W224" s="60" t="s">
        <v>93</v>
      </c>
      <c r="X224" s="63" t="s">
        <v>95</v>
      </c>
    </row>
    <row r="225" spans="1:24">
      <c r="A225" s="60">
        <v>382</v>
      </c>
      <c r="B225" s="61" t="s">
        <v>1345</v>
      </c>
      <c r="C225" s="62" t="s">
        <v>1346</v>
      </c>
      <c r="D225" s="62" t="s">
        <v>422</v>
      </c>
      <c r="E225" s="60" t="s">
        <v>123</v>
      </c>
      <c r="F225" s="60" t="s">
        <v>87</v>
      </c>
      <c r="G225" s="60" t="s">
        <v>99</v>
      </c>
      <c r="H225" s="60" t="s">
        <v>89</v>
      </c>
      <c r="I225" s="60" t="s">
        <v>101</v>
      </c>
      <c r="J225" s="60" t="s">
        <v>2</v>
      </c>
      <c r="K225" s="60" t="s">
        <v>2</v>
      </c>
      <c r="L225" s="60">
        <v>5</v>
      </c>
      <c r="M225" s="60">
        <v>64</v>
      </c>
      <c r="N225" s="60">
        <v>4</v>
      </c>
      <c r="O225" s="60" t="s">
        <v>219</v>
      </c>
      <c r="P225" s="60" t="s">
        <v>1594</v>
      </c>
      <c r="Q225" s="60" t="s">
        <v>19</v>
      </c>
      <c r="R225" s="60" t="s">
        <v>92</v>
      </c>
      <c r="S225" s="60" t="s">
        <v>92</v>
      </c>
      <c r="T225" s="60" t="s">
        <v>94</v>
      </c>
      <c r="U225" s="60" t="s">
        <v>108</v>
      </c>
      <c r="V225" s="60" t="s">
        <v>92</v>
      </c>
      <c r="W225" s="60" t="s">
        <v>93</v>
      </c>
      <c r="X225" s="63" t="s">
        <v>102</v>
      </c>
    </row>
    <row r="226" spans="1:24">
      <c r="A226" s="60">
        <v>599</v>
      </c>
      <c r="B226" s="61" t="s">
        <v>901</v>
      </c>
      <c r="C226" s="62" t="s">
        <v>902</v>
      </c>
      <c r="D226" s="62" t="s">
        <v>903</v>
      </c>
      <c r="E226" s="60" t="s">
        <v>127</v>
      </c>
      <c r="F226" s="60" t="s">
        <v>87</v>
      </c>
      <c r="G226" s="60" t="s">
        <v>99</v>
      </c>
      <c r="H226" s="60" t="s">
        <v>89</v>
      </c>
      <c r="I226" s="60" t="s">
        <v>101</v>
      </c>
      <c r="J226" s="60" t="s">
        <v>2</v>
      </c>
      <c r="K226" s="60" t="s">
        <v>2</v>
      </c>
      <c r="L226" s="60">
        <v>5</v>
      </c>
      <c r="M226" s="60">
        <v>36</v>
      </c>
      <c r="N226" s="60">
        <v>4</v>
      </c>
      <c r="O226" s="60" t="s">
        <v>633</v>
      </c>
      <c r="P226" s="60" t="s">
        <v>634</v>
      </c>
      <c r="Q226" s="60" t="s">
        <v>22</v>
      </c>
      <c r="R226" s="60" t="s">
        <v>21</v>
      </c>
      <c r="S226" s="60" t="s">
        <v>92</v>
      </c>
      <c r="T226" s="60" t="s">
        <v>94</v>
      </c>
      <c r="U226" s="60" t="s">
        <v>108</v>
      </c>
      <c r="V226" s="60" t="s">
        <v>94</v>
      </c>
      <c r="W226" s="60" t="s">
        <v>93</v>
      </c>
      <c r="X226" s="63" t="s">
        <v>102</v>
      </c>
    </row>
    <row r="227" spans="1:24">
      <c r="A227" s="60">
        <v>256</v>
      </c>
      <c r="B227" s="61" t="s">
        <v>329</v>
      </c>
      <c r="C227" s="62" t="s">
        <v>330</v>
      </c>
      <c r="D227" s="62" t="s">
        <v>331</v>
      </c>
      <c r="E227" s="60" t="s">
        <v>98</v>
      </c>
      <c r="F227" s="60" t="s">
        <v>87</v>
      </c>
      <c r="G227" s="60" t="s">
        <v>99</v>
      </c>
      <c r="H227" s="60" t="s">
        <v>100</v>
      </c>
      <c r="I227" s="60" t="s">
        <v>101</v>
      </c>
      <c r="J227" s="60" t="s">
        <v>2</v>
      </c>
      <c r="K227" s="60" t="s">
        <v>2</v>
      </c>
      <c r="L227" s="60">
        <v>195</v>
      </c>
      <c r="M227" s="60" t="s">
        <v>87</v>
      </c>
      <c r="N227" s="60">
        <v>10</v>
      </c>
      <c r="O227" s="60" t="s">
        <v>87</v>
      </c>
      <c r="P227" s="60">
        <v>10</v>
      </c>
      <c r="Q227" s="60" t="s">
        <v>92</v>
      </c>
      <c r="R227" s="60" t="s">
        <v>92</v>
      </c>
      <c r="S227" s="60" t="s">
        <v>92</v>
      </c>
      <c r="T227" s="60" t="s">
        <v>94</v>
      </c>
      <c r="U227" s="60" t="s">
        <v>108</v>
      </c>
      <c r="V227" s="60" t="s">
        <v>92</v>
      </c>
      <c r="W227" s="60" t="s">
        <v>93</v>
      </c>
      <c r="X227" s="63" t="s">
        <v>102</v>
      </c>
    </row>
    <row r="228" spans="1:24">
      <c r="A228" s="60">
        <v>743</v>
      </c>
      <c r="B228" s="61" t="s">
        <v>1238</v>
      </c>
      <c r="C228" s="62" t="s">
        <v>1239</v>
      </c>
      <c r="D228" s="62" t="s">
        <v>1240</v>
      </c>
      <c r="E228" s="60" t="s">
        <v>226</v>
      </c>
      <c r="F228" s="60" t="s">
        <v>87</v>
      </c>
      <c r="G228" s="60" t="s">
        <v>112</v>
      </c>
      <c r="H228" s="60" t="s">
        <v>707</v>
      </c>
      <c r="I228" s="60" t="s">
        <v>90</v>
      </c>
      <c r="J228" s="60" t="s">
        <v>2</v>
      </c>
      <c r="K228" s="60" t="s">
        <v>2</v>
      </c>
      <c r="L228" s="60" t="s">
        <v>87</v>
      </c>
      <c r="M228" s="60">
        <v>70</v>
      </c>
      <c r="N228" s="60" t="s">
        <v>87</v>
      </c>
      <c r="O228" s="60">
        <v>20</v>
      </c>
      <c r="P228" s="60" t="s">
        <v>788</v>
      </c>
      <c r="Q228" s="60" t="s">
        <v>24</v>
      </c>
      <c r="R228" s="60" t="s">
        <v>92</v>
      </c>
      <c r="S228" s="60" t="s">
        <v>23</v>
      </c>
      <c r="T228" s="60" t="s">
        <v>94</v>
      </c>
      <c r="U228" s="60" t="s">
        <v>90</v>
      </c>
      <c r="V228" s="60" t="s">
        <v>92</v>
      </c>
      <c r="W228" s="60" t="s">
        <v>93</v>
      </c>
      <c r="X228" s="63" t="s">
        <v>95</v>
      </c>
    </row>
    <row r="229" spans="1:24">
      <c r="A229" s="60">
        <v>717</v>
      </c>
      <c r="B229" s="61" t="s">
        <v>1460</v>
      </c>
      <c r="C229" s="62" t="s">
        <v>1595</v>
      </c>
      <c r="D229" s="62" t="s">
        <v>528</v>
      </c>
      <c r="E229" s="60" t="s">
        <v>328</v>
      </c>
      <c r="F229" s="60" t="s">
        <v>87</v>
      </c>
      <c r="G229" s="60" t="s">
        <v>117</v>
      </c>
      <c r="H229" s="60" t="s">
        <v>89</v>
      </c>
      <c r="I229" s="60" t="s">
        <v>101</v>
      </c>
      <c r="J229" s="60" t="s">
        <v>3</v>
      </c>
      <c r="K229" s="60" t="s">
        <v>3</v>
      </c>
      <c r="L229" s="60">
        <v>5</v>
      </c>
      <c r="M229" s="60">
        <v>53</v>
      </c>
      <c r="N229" s="60">
        <v>4</v>
      </c>
      <c r="O229" s="60" t="s">
        <v>322</v>
      </c>
      <c r="P229" s="60" t="s">
        <v>702</v>
      </c>
      <c r="Q229" s="60" t="s">
        <v>19</v>
      </c>
      <c r="R229" s="60" t="s">
        <v>20</v>
      </c>
      <c r="S229" s="60" t="s">
        <v>23</v>
      </c>
      <c r="T229" s="60" t="s">
        <v>94</v>
      </c>
      <c r="U229" s="60" t="s">
        <v>90</v>
      </c>
      <c r="V229" s="60" t="s">
        <v>92</v>
      </c>
      <c r="W229" s="60" t="s">
        <v>101</v>
      </c>
      <c r="X229" s="63" t="s">
        <v>102</v>
      </c>
    </row>
    <row r="230" spans="1:24">
      <c r="A230" s="60">
        <v>29</v>
      </c>
      <c r="B230" s="61" t="s">
        <v>1596</v>
      </c>
      <c r="C230" s="62" t="s">
        <v>1597</v>
      </c>
      <c r="D230" s="62" t="s">
        <v>1598</v>
      </c>
      <c r="E230" s="60" t="s">
        <v>178</v>
      </c>
      <c r="F230" s="60" t="s">
        <v>87</v>
      </c>
      <c r="G230" s="60" t="s">
        <v>117</v>
      </c>
      <c r="H230" s="60" t="s">
        <v>707</v>
      </c>
      <c r="I230" s="60" t="s">
        <v>101</v>
      </c>
      <c r="J230" s="60" t="s">
        <v>2</v>
      </c>
      <c r="K230" s="60" t="s">
        <v>2</v>
      </c>
      <c r="L230" s="60" t="s">
        <v>87</v>
      </c>
      <c r="M230" s="60">
        <v>30</v>
      </c>
      <c r="N230" s="60" t="s">
        <v>87</v>
      </c>
      <c r="O230" s="60">
        <v>15</v>
      </c>
      <c r="P230" s="60" t="s">
        <v>836</v>
      </c>
      <c r="Q230" s="60" t="s">
        <v>24</v>
      </c>
      <c r="R230" s="60" t="s">
        <v>20</v>
      </c>
      <c r="S230" s="60" t="s">
        <v>23</v>
      </c>
      <c r="T230" s="60" t="s">
        <v>94</v>
      </c>
      <c r="U230" s="60" t="s">
        <v>93</v>
      </c>
      <c r="V230" s="60" t="s">
        <v>92</v>
      </c>
      <c r="W230" s="60" t="s">
        <v>93</v>
      </c>
      <c r="X230" s="63" t="s">
        <v>102</v>
      </c>
    </row>
    <row r="231" spans="1:24">
      <c r="A231" s="60">
        <v>1128</v>
      </c>
      <c r="B231" s="61" t="s">
        <v>1599</v>
      </c>
      <c r="C231" s="62" t="s">
        <v>1600</v>
      </c>
      <c r="D231" s="62" t="s">
        <v>350</v>
      </c>
      <c r="E231" s="60" t="s">
        <v>197</v>
      </c>
      <c r="F231" s="60" t="s">
        <v>87</v>
      </c>
      <c r="G231" s="60" t="s">
        <v>117</v>
      </c>
      <c r="H231" s="60" t="s">
        <v>100</v>
      </c>
      <c r="I231" s="60" t="s">
        <v>101</v>
      </c>
      <c r="J231" s="60" t="s">
        <v>2</v>
      </c>
      <c r="K231" s="60" t="s">
        <v>2</v>
      </c>
      <c r="L231" s="60">
        <v>30</v>
      </c>
      <c r="M231" s="60">
        <v>7</v>
      </c>
      <c r="N231" s="60">
        <v>12</v>
      </c>
      <c r="O231" s="60" t="s">
        <v>603</v>
      </c>
      <c r="P231" s="60" t="s">
        <v>210</v>
      </c>
      <c r="Q231" s="60" t="s">
        <v>22</v>
      </c>
      <c r="R231" s="60" t="s">
        <v>21</v>
      </c>
      <c r="S231" s="60" t="s">
        <v>92</v>
      </c>
      <c r="T231" s="60" t="s">
        <v>94</v>
      </c>
      <c r="U231" s="60" t="s">
        <v>108</v>
      </c>
      <c r="V231" s="60" t="s">
        <v>92</v>
      </c>
      <c r="W231" s="60" t="s">
        <v>93</v>
      </c>
      <c r="X231" s="63" t="s">
        <v>102</v>
      </c>
    </row>
    <row r="232" spans="1:24">
      <c r="A232" s="60">
        <v>720</v>
      </c>
      <c r="B232" s="61" t="s">
        <v>1347</v>
      </c>
      <c r="C232" s="62" t="s">
        <v>1348</v>
      </c>
      <c r="D232" s="62" t="s">
        <v>156</v>
      </c>
      <c r="E232" s="60" t="s">
        <v>328</v>
      </c>
      <c r="F232" s="60" t="s">
        <v>87</v>
      </c>
      <c r="G232" s="60" t="s">
        <v>150</v>
      </c>
      <c r="H232" s="60" t="s">
        <v>707</v>
      </c>
      <c r="I232" s="60" t="s">
        <v>90</v>
      </c>
      <c r="J232" s="60" t="s">
        <v>2</v>
      </c>
      <c r="K232" s="60" t="s">
        <v>2</v>
      </c>
      <c r="L232" s="60" t="s">
        <v>87</v>
      </c>
      <c r="M232" s="60">
        <v>34</v>
      </c>
      <c r="N232" s="60" t="s">
        <v>87</v>
      </c>
      <c r="O232" s="60">
        <v>13</v>
      </c>
      <c r="P232" s="60" t="s">
        <v>718</v>
      </c>
      <c r="Q232" s="60" t="s">
        <v>19</v>
      </c>
      <c r="R232" s="60" t="s">
        <v>20</v>
      </c>
      <c r="S232" s="60" t="s">
        <v>23</v>
      </c>
      <c r="T232" s="60" t="s">
        <v>94</v>
      </c>
      <c r="U232" s="60" t="s">
        <v>108</v>
      </c>
      <c r="V232" s="60" t="s">
        <v>92</v>
      </c>
      <c r="W232" s="60" t="s">
        <v>93</v>
      </c>
      <c r="X232" s="63" t="s">
        <v>95</v>
      </c>
    </row>
    <row r="233" spans="1:24">
      <c r="A233" s="60">
        <v>689</v>
      </c>
      <c r="B233" s="61" t="s">
        <v>1601</v>
      </c>
      <c r="C233" s="62" t="s">
        <v>1602</v>
      </c>
      <c r="D233" s="62" t="s">
        <v>358</v>
      </c>
      <c r="E233" s="60" t="s">
        <v>42</v>
      </c>
      <c r="F233" s="60" t="s">
        <v>87</v>
      </c>
      <c r="G233" s="60" t="s">
        <v>150</v>
      </c>
      <c r="H233" s="60" t="s">
        <v>707</v>
      </c>
      <c r="I233" s="60" t="s">
        <v>90</v>
      </c>
      <c r="J233" s="60" t="s">
        <v>2</v>
      </c>
      <c r="K233" s="60" t="s">
        <v>2</v>
      </c>
      <c r="L233" s="60" t="s">
        <v>87</v>
      </c>
      <c r="M233" s="60">
        <v>25</v>
      </c>
      <c r="N233" s="60" t="s">
        <v>87</v>
      </c>
      <c r="O233" s="60">
        <v>5</v>
      </c>
      <c r="P233" s="60" t="s">
        <v>708</v>
      </c>
      <c r="Q233" s="60" t="s">
        <v>22</v>
      </c>
      <c r="R233" s="60" t="s">
        <v>20</v>
      </c>
      <c r="S233" s="60" t="s">
        <v>3</v>
      </c>
      <c r="T233" s="60" t="s">
        <v>94</v>
      </c>
      <c r="U233" s="60" t="s">
        <v>108</v>
      </c>
      <c r="V233" s="60" t="s">
        <v>94</v>
      </c>
      <c r="W233" s="60" t="s">
        <v>90</v>
      </c>
      <c r="X233" s="63" t="s">
        <v>95</v>
      </c>
    </row>
    <row r="234" spans="1:24">
      <c r="A234" s="60">
        <v>385</v>
      </c>
      <c r="B234" s="61" t="s">
        <v>904</v>
      </c>
      <c r="C234" s="62" t="s">
        <v>905</v>
      </c>
      <c r="D234" s="62" t="s">
        <v>148</v>
      </c>
      <c r="E234" s="60" t="s">
        <v>123</v>
      </c>
      <c r="F234" s="60" t="s">
        <v>87</v>
      </c>
      <c r="G234" s="60" t="s">
        <v>88</v>
      </c>
      <c r="H234" s="60" t="s">
        <v>707</v>
      </c>
      <c r="I234" s="60" t="s">
        <v>90</v>
      </c>
      <c r="J234" s="60" t="s">
        <v>2</v>
      </c>
      <c r="K234" s="60" t="s">
        <v>2</v>
      </c>
      <c r="L234" s="60" t="s">
        <v>87</v>
      </c>
      <c r="M234" s="60">
        <v>59</v>
      </c>
      <c r="N234" s="60" t="s">
        <v>87</v>
      </c>
      <c r="O234" s="60">
        <v>4</v>
      </c>
      <c r="P234" s="60" t="s">
        <v>754</v>
      </c>
      <c r="Q234" s="60" t="s">
        <v>92</v>
      </c>
      <c r="R234" s="60" t="s">
        <v>20</v>
      </c>
      <c r="S234" s="60" t="s">
        <v>3</v>
      </c>
      <c r="T234" s="60" t="s">
        <v>92</v>
      </c>
      <c r="U234" s="60" t="s">
        <v>108</v>
      </c>
      <c r="V234" s="60" t="s">
        <v>92</v>
      </c>
      <c r="W234" s="60" t="s">
        <v>93</v>
      </c>
      <c r="X234" s="63" t="s">
        <v>95</v>
      </c>
    </row>
    <row r="235" spans="1:24">
      <c r="A235" s="60">
        <v>744</v>
      </c>
      <c r="B235" s="61" t="s">
        <v>332</v>
      </c>
      <c r="C235" s="62" t="s">
        <v>333</v>
      </c>
      <c r="D235" s="62" t="s">
        <v>334</v>
      </c>
      <c r="E235" s="60" t="s">
        <v>226</v>
      </c>
      <c r="F235" s="60" t="s">
        <v>87</v>
      </c>
      <c r="G235" s="60" t="s">
        <v>99</v>
      </c>
      <c r="H235" s="60" t="s">
        <v>707</v>
      </c>
      <c r="I235" s="60" t="s">
        <v>101</v>
      </c>
      <c r="J235" s="60" t="s">
        <v>2</v>
      </c>
      <c r="K235" s="60" t="s">
        <v>2</v>
      </c>
      <c r="L235" s="60" t="s">
        <v>87</v>
      </c>
      <c r="M235" s="60">
        <v>75</v>
      </c>
      <c r="N235" s="60" t="s">
        <v>87</v>
      </c>
      <c r="O235" s="60">
        <v>12</v>
      </c>
      <c r="P235" s="60" t="s">
        <v>782</v>
      </c>
      <c r="Q235" s="60" t="s">
        <v>92</v>
      </c>
      <c r="R235" s="60" t="s">
        <v>20</v>
      </c>
      <c r="S235" s="60" t="s">
        <v>37</v>
      </c>
      <c r="T235" s="60" t="s">
        <v>94</v>
      </c>
      <c r="U235" s="60" t="s">
        <v>108</v>
      </c>
      <c r="V235" s="60" t="s">
        <v>92</v>
      </c>
      <c r="W235" s="60" t="s">
        <v>90</v>
      </c>
      <c r="X235" s="63" t="s">
        <v>102</v>
      </c>
    </row>
    <row r="236" spans="1:24">
      <c r="A236" s="60">
        <v>1296</v>
      </c>
      <c r="B236" s="61" t="s">
        <v>1349</v>
      </c>
      <c r="C236" s="62" t="s">
        <v>1350</v>
      </c>
      <c r="D236" s="62" t="s">
        <v>291</v>
      </c>
      <c r="E236" s="60" t="s">
        <v>318</v>
      </c>
      <c r="F236" s="60" t="s">
        <v>170</v>
      </c>
      <c r="G236" s="60" t="s">
        <v>107</v>
      </c>
      <c r="H236" s="60" t="s">
        <v>100</v>
      </c>
      <c r="I236" s="60" t="s">
        <v>101</v>
      </c>
      <c r="J236" s="60" t="s">
        <v>3</v>
      </c>
      <c r="K236" s="60" t="s">
        <v>3</v>
      </c>
      <c r="L236" s="60">
        <v>200</v>
      </c>
      <c r="M236" s="60">
        <v>100</v>
      </c>
      <c r="N236" s="60">
        <v>1</v>
      </c>
      <c r="O236" s="60">
        <v>1</v>
      </c>
      <c r="P236" s="60" t="s">
        <v>255</v>
      </c>
      <c r="Q236" s="60" t="s">
        <v>92</v>
      </c>
      <c r="R236" s="60" t="s">
        <v>92</v>
      </c>
      <c r="S236" s="60" t="s">
        <v>38</v>
      </c>
      <c r="T236" s="60" t="s">
        <v>92</v>
      </c>
      <c r="U236" s="60" t="s">
        <v>101</v>
      </c>
      <c r="V236" s="60" t="s">
        <v>92</v>
      </c>
      <c r="W236" s="60" t="s">
        <v>101</v>
      </c>
      <c r="X236" s="63" t="s">
        <v>102</v>
      </c>
    </row>
    <row r="237" spans="1:24">
      <c r="A237" s="60">
        <v>1104</v>
      </c>
      <c r="B237" s="61" t="s">
        <v>1603</v>
      </c>
      <c r="C237" s="62" t="s">
        <v>336</v>
      </c>
      <c r="D237" s="62" t="s">
        <v>227</v>
      </c>
      <c r="E237" s="60" t="s">
        <v>249</v>
      </c>
      <c r="F237" s="60" t="s">
        <v>87</v>
      </c>
      <c r="G237" s="60" t="s">
        <v>107</v>
      </c>
      <c r="H237" s="60" t="s">
        <v>100</v>
      </c>
      <c r="I237" s="60" t="s">
        <v>101</v>
      </c>
      <c r="J237" s="60" t="s">
        <v>2</v>
      </c>
      <c r="K237" s="60" t="s">
        <v>2</v>
      </c>
      <c r="L237" s="60">
        <v>61</v>
      </c>
      <c r="M237" s="60">
        <v>7</v>
      </c>
      <c r="N237" s="60">
        <v>8</v>
      </c>
      <c r="O237" s="60" t="s">
        <v>344</v>
      </c>
      <c r="P237" s="60" t="s">
        <v>198</v>
      </c>
      <c r="Q237" s="60" t="s">
        <v>92</v>
      </c>
      <c r="R237" s="60" t="s">
        <v>21</v>
      </c>
      <c r="S237" s="60" t="s">
        <v>92</v>
      </c>
      <c r="T237" s="60" t="s">
        <v>92</v>
      </c>
      <c r="U237" s="60" t="s">
        <v>101</v>
      </c>
      <c r="V237" s="60" t="s">
        <v>92</v>
      </c>
      <c r="W237" s="60" t="s">
        <v>93</v>
      </c>
      <c r="X237" s="63" t="s">
        <v>102</v>
      </c>
    </row>
    <row r="238" spans="1:24">
      <c r="A238" s="60">
        <v>888</v>
      </c>
      <c r="B238" s="61" t="s">
        <v>335</v>
      </c>
      <c r="C238" s="62" t="s">
        <v>336</v>
      </c>
      <c r="D238" s="62" t="s">
        <v>337</v>
      </c>
      <c r="E238" s="60" t="s">
        <v>266</v>
      </c>
      <c r="F238" s="60" t="s">
        <v>87</v>
      </c>
      <c r="G238" s="60" t="s">
        <v>182</v>
      </c>
      <c r="H238" s="60" t="s">
        <v>100</v>
      </c>
      <c r="I238" s="60" t="s">
        <v>101</v>
      </c>
      <c r="J238" s="60" t="s">
        <v>2</v>
      </c>
      <c r="K238" s="60" t="s">
        <v>3</v>
      </c>
      <c r="L238" s="60">
        <v>176</v>
      </c>
      <c r="M238" s="60" t="s">
        <v>87</v>
      </c>
      <c r="N238" s="60">
        <v>8</v>
      </c>
      <c r="O238" s="60" t="s">
        <v>87</v>
      </c>
      <c r="P238" s="60">
        <v>8</v>
      </c>
      <c r="Q238" s="60" t="s">
        <v>22</v>
      </c>
      <c r="R238" s="60" t="s">
        <v>92</v>
      </c>
      <c r="S238" s="60" t="s">
        <v>37</v>
      </c>
      <c r="T238" s="60" t="s">
        <v>94</v>
      </c>
      <c r="U238" s="60" t="s">
        <v>101</v>
      </c>
      <c r="V238" s="60" t="s">
        <v>92</v>
      </c>
      <c r="W238" s="60" t="s">
        <v>101</v>
      </c>
      <c r="X238" s="63" t="s">
        <v>102</v>
      </c>
    </row>
    <row r="239" spans="1:24">
      <c r="A239" s="60">
        <v>19</v>
      </c>
      <c r="B239" s="61" t="s">
        <v>338</v>
      </c>
      <c r="C239" s="62" t="s">
        <v>336</v>
      </c>
      <c r="D239" s="62" t="s">
        <v>339</v>
      </c>
      <c r="E239" s="60" t="s">
        <v>178</v>
      </c>
      <c r="F239" s="60" t="s">
        <v>87</v>
      </c>
      <c r="G239" s="60" t="s">
        <v>142</v>
      </c>
      <c r="H239" s="60" t="s">
        <v>100</v>
      </c>
      <c r="I239" s="60" t="s">
        <v>101</v>
      </c>
      <c r="J239" s="60" t="s">
        <v>2</v>
      </c>
      <c r="K239" s="60" t="s">
        <v>2</v>
      </c>
      <c r="L239" s="60">
        <v>145</v>
      </c>
      <c r="M239" s="60" t="s">
        <v>87</v>
      </c>
      <c r="N239" s="60">
        <v>4</v>
      </c>
      <c r="O239" s="60" t="s">
        <v>87</v>
      </c>
      <c r="P239" s="60">
        <v>4</v>
      </c>
      <c r="Q239" s="60" t="s">
        <v>92</v>
      </c>
      <c r="R239" s="60" t="s">
        <v>92</v>
      </c>
      <c r="S239" s="60" t="s">
        <v>3</v>
      </c>
      <c r="T239" s="60" t="s">
        <v>94</v>
      </c>
      <c r="U239" s="60" t="s">
        <v>101</v>
      </c>
      <c r="V239" s="60" t="s">
        <v>92</v>
      </c>
      <c r="W239" s="60" t="s">
        <v>93</v>
      </c>
      <c r="X239" s="63" t="s">
        <v>102</v>
      </c>
    </row>
    <row r="240" spans="1:24">
      <c r="A240" s="60">
        <v>1270</v>
      </c>
      <c r="B240" s="61" t="s">
        <v>1604</v>
      </c>
      <c r="C240" s="62" t="s">
        <v>336</v>
      </c>
      <c r="D240" s="62" t="s">
        <v>1605</v>
      </c>
      <c r="E240" s="60" t="s">
        <v>226</v>
      </c>
      <c r="F240" s="60" t="s">
        <v>170</v>
      </c>
      <c r="G240" s="60" t="s">
        <v>147</v>
      </c>
      <c r="H240" s="60" t="s">
        <v>100</v>
      </c>
      <c r="I240" s="60" t="s">
        <v>101</v>
      </c>
      <c r="J240" s="60" t="s">
        <v>2</v>
      </c>
      <c r="K240" s="60" t="s">
        <v>2</v>
      </c>
      <c r="L240" s="60">
        <v>200</v>
      </c>
      <c r="M240" s="60">
        <v>100</v>
      </c>
      <c r="N240" s="60">
        <v>1</v>
      </c>
      <c r="O240" s="60">
        <v>1</v>
      </c>
      <c r="P240" s="60" t="s">
        <v>255</v>
      </c>
      <c r="Q240" s="60" t="s">
        <v>22</v>
      </c>
      <c r="R240" s="60" t="s">
        <v>20</v>
      </c>
      <c r="S240" s="60" t="s">
        <v>3</v>
      </c>
      <c r="T240" s="60" t="s">
        <v>92</v>
      </c>
      <c r="U240" s="60" t="s">
        <v>93</v>
      </c>
      <c r="V240" s="60" t="s">
        <v>92</v>
      </c>
      <c r="W240" s="60" t="s">
        <v>93</v>
      </c>
      <c r="X240" s="63" t="s">
        <v>102</v>
      </c>
    </row>
    <row r="241" spans="1:24">
      <c r="A241" s="60">
        <v>1035</v>
      </c>
      <c r="B241" s="61" t="s">
        <v>1606</v>
      </c>
      <c r="C241" s="62" t="s">
        <v>1607</v>
      </c>
      <c r="D241" s="62" t="s">
        <v>647</v>
      </c>
      <c r="E241" s="60" t="s">
        <v>408</v>
      </c>
      <c r="F241" s="60" t="s">
        <v>87</v>
      </c>
      <c r="G241" s="60" t="s">
        <v>107</v>
      </c>
      <c r="H241" s="60" t="s">
        <v>707</v>
      </c>
      <c r="I241" s="60" t="s">
        <v>90</v>
      </c>
      <c r="J241" s="60" t="s">
        <v>2</v>
      </c>
      <c r="K241" s="60" t="s">
        <v>2</v>
      </c>
      <c r="L241" s="60" t="s">
        <v>87</v>
      </c>
      <c r="M241" s="60">
        <v>6</v>
      </c>
      <c r="N241" s="60" t="s">
        <v>87</v>
      </c>
      <c r="O241" s="60">
        <v>4</v>
      </c>
      <c r="P241" s="60" t="s">
        <v>754</v>
      </c>
      <c r="Q241" s="60" t="s">
        <v>92</v>
      </c>
      <c r="R241" s="60" t="s">
        <v>21</v>
      </c>
      <c r="S241" s="60" t="s">
        <v>37</v>
      </c>
      <c r="T241" s="60" t="s">
        <v>94</v>
      </c>
      <c r="U241" s="60" t="s">
        <v>90</v>
      </c>
      <c r="V241" s="60" t="s">
        <v>92</v>
      </c>
      <c r="W241" s="60" t="s">
        <v>93</v>
      </c>
      <c r="X241" s="63" t="s">
        <v>95</v>
      </c>
    </row>
    <row r="242" spans="1:24">
      <c r="A242" s="60">
        <v>145</v>
      </c>
      <c r="B242" s="61" t="s">
        <v>341</v>
      </c>
      <c r="C242" s="62" t="s">
        <v>342</v>
      </c>
      <c r="D242" s="62" t="s">
        <v>343</v>
      </c>
      <c r="E242" s="60" t="s">
        <v>111</v>
      </c>
      <c r="F242" s="60" t="s">
        <v>87</v>
      </c>
      <c r="G242" s="60" t="s">
        <v>171</v>
      </c>
      <c r="H242" s="60" t="s">
        <v>707</v>
      </c>
      <c r="I242" s="60" t="s">
        <v>101</v>
      </c>
      <c r="J242" s="60" t="s">
        <v>2</v>
      </c>
      <c r="K242" s="60" t="s">
        <v>3</v>
      </c>
      <c r="L242" s="60" t="s">
        <v>87</v>
      </c>
      <c r="M242" s="60">
        <v>40</v>
      </c>
      <c r="N242" s="60" t="s">
        <v>87</v>
      </c>
      <c r="O242" s="60">
        <v>4</v>
      </c>
      <c r="P242" s="60" t="s">
        <v>754</v>
      </c>
      <c r="Q242" s="60" t="s">
        <v>22</v>
      </c>
      <c r="R242" s="60" t="s">
        <v>21</v>
      </c>
      <c r="S242" s="60" t="s">
        <v>92</v>
      </c>
      <c r="T242" s="60" t="s">
        <v>94</v>
      </c>
      <c r="U242" s="60" t="s">
        <v>101</v>
      </c>
      <c r="V242" s="60" t="s">
        <v>92</v>
      </c>
      <c r="W242" s="60" t="s">
        <v>93</v>
      </c>
      <c r="X242" s="63" t="s">
        <v>102</v>
      </c>
    </row>
    <row r="243" spans="1:24">
      <c r="A243" s="60">
        <v>238</v>
      </c>
      <c r="B243" s="61" t="s">
        <v>1608</v>
      </c>
      <c r="C243" s="62" t="s">
        <v>1609</v>
      </c>
      <c r="D243" s="62" t="s">
        <v>145</v>
      </c>
      <c r="E243" s="60" t="s">
        <v>169</v>
      </c>
      <c r="F243" s="60" t="s">
        <v>87</v>
      </c>
      <c r="G243" s="60" t="s">
        <v>147</v>
      </c>
      <c r="H243" s="60" t="s">
        <v>707</v>
      </c>
      <c r="I243" s="60" t="s">
        <v>101</v>
      </c>
      <c r="J243" s="60" t="s">
        <v>2</v>
      </c>
      <c r="K243" s="60" t="s">
        <v>2</v>
      </c>
      <c r="L243" s="60" t="s">
        <v>87</v>
      </c>
      <c r="M243" s="60">
        <v>48</v>
      </c>
      <c r="N243" s="60" t="s">
        <v>87</v>
      </c>
      <c r="O243" s="60">
        <v>12</v>
      </c>
      <c r="P243" s="60" t="s">
        <v>782</v>
      </c>
      <c r="Q243" s="60" t="s">
        <v>92</v>
      </c>
      <c r="R243" s="60" t="s">
        <v>92</v>
      </c>
      <c r="S243" s="60" t="s">
        <v>23</v>
      </c>
      <c r="T243" s="60" t="s">
        <v>94</v>
      </c>
      <c r="U243" s="60" t="s">
        <v>90</v>
      </c>
      <c r="V243" s="60" t="s">
        <v>92</v>
      </c>
      <c r="W243" s="60" t="s">
        <v>101</v>
      </c>
      <c r="X243" s="63" t="s">
        <v>102</v>
      </c>
    </row>
    <row r="244" spans="1:24">
      <c r="A244" s="60">
        <v>1345</v>
      </c>
      <c r="B244" s="61" t="s">
        <v>1610</v>
      </c>
      <c r="C244" s="62" t="s">
        <v>1611</v>
      </c>
      <c r="D244" s="62" t="s">
        <v>201</v>
      </c>
      <c r="E244" s="60" t="s">
        <v>266</v>
      </c>
      <c r="F244" s="60" t="s">
        <v>87</v>
      </c>
      <c r="G244" s="60" t="s">
        <v>150</v>
      </c>
      <c r="H244" s="60" t="s">
        <v>707</v>
      </c>
      <c r="I244" s="60" t="s">
        <v>90</v>
      </c>
      <c r="J244" s="60" t="s">
        <v>3</v>
      </c>
      <c r="K244" s="60" t="s">
        <v>3</v>
      </c>
      <c r="L244" s="60" t="s">
        <v>87</v>
      </c>
      <c r="M244" s="60">
        <v>17</v>
      </c>
      <c r="N244" s="60" t="s">
        <v>87</v>
      </c>
      <c r="O244" s="60">
        <v>4</v>
      </c>
      <c r="P244" s="60" t="s">
        <v>754</v>
      </c>
      <c r="Q244" s="60" t="s">
        <v>92</v>
      </c>
      <c r="R244" s="60" t="s">
        <v>92</v>
      </c>
      <c r="S244" s="60" t="s">
        <v>23</v>
      </c>
      <c r="T244" s="60" t="s">
        <v>94</v>
      </c>
      <c r="U244" s="60" t="s">
        <v>108</v>
      </c>
      <c r="V244" s="60" t="s">
        <v>92</v>
      </c>
      <c r="W244" s="60" t="s">
        <v>93</v>
      </c>
      <c r="X244" s="63" t="s">
        <v>95</v>
      </c>
    </row>
    <row r="245" spans="1:24">
      <c r="A245" s="60">
        <v>270</v>
      </c>
      <c r="B245" s="61" t="s">
        <v>1612</v>
      </c>
      <c r="C245" s="62" t="s">
        <v>1613</v>
      </c>
      <c r="D245" s="62" t="s">
        <v>1614</v>
      </c>
      <c r="E245" s="60" t="s">
        <v>98</v>
      </c>
      <c r="F245" s="60" t="s">
        <v>87</v>
      </c>
      <c r="G245" s="60" t="s">
        <v>117</v>
      </c>
      <c r="H245" s="60" t="s">
        <v>89</v>
      </c>
      <c r="I245" s="60" t="s">
        <v>101</v>
      </c>
      <c r="J245" s="60" t="s">
        <v>2</v>
      </c>
      <c r="K245" s="60" t="s">
        <v>2</v>
      </c>
      <c r="L245" s="60">
        <v>5</v>
      </c>
      <c r="M245" s="60">
        <v>60</v>
      </c>
      <c r="N245" s="60">
        <v>3</v>
      </c>
      <c r="O245" s="60" t="s">
        <v>166</v>
      </c>
      <c r="P245" s="60" t="s">
        <v>1378</v>
      </c>
      <c r="Q245" s="60" t="s">
        <v>22</v>
      </c>
      <c r="R245" s="60" t="s">
        <v>92</v>
      </c>
      <c r="S245" s="60" t="s">
        <v>3</v>
      </c>
      <c r="T245" s="60" t="s">
        <v>92</v>
      </c>
      <c r="U245" s="60" t="s">
        <v>108</v>
      </c>
      <c r="V245" s="60" t="s">
        <v>92</v>
      </c>
      <c r="W245" s="60" t="s">
        <v>93</v>
      </c>
      <c r="X245" s="63" t="s">
        <v>102</v>
      </c>
    </row>
    <row r="246" spans="1:24">
      <c r="A246" s="60">
        <v>318</v>
      </c>
      <c r="B246" s="61" t="s">
        <v>1351</v>
      </c>
      <c r="C246" s="62" t="s">
        <v>1352</v>
      </c>
      <c r="D246" s="62" t="s">
        <v>1353</v>
      </c>
      <c r="E246" s="60" t="s">
        <v>50</v>
      </c>
      <c r="F246" s="60" t="s">
        <v>87</v>
      </c>
      <c r="G246" s="60" t="s">
        <v>112</v>
      </c>
      <c r="H246" s="60" t="s">
        <v>100</v>
      </c>
      <c r="I246" s="60" t="s">
        <v>90</v>
      </c>
      <c r="J246" s="60" t="s">
        <v>2</v>
      </c>
      <c r="K246" s="60" t="s">
        <v>2</v>
      </c>
      <c r="L246" s="60">
        <v>116</v>
      </c>
      <c r="M246" s="60" t="s">
        <v>87</v>
      </c>
      <c r="N246" s="60">
        <v>7</v>
      </c>
      <c r="O246" s="60" t="s">
        <v>87</v>
      </c>
      <c r="P246" s="60">
        <v>7</v>
      </c>
      <c r="Q246" s="60" t="s">
        <v>92</v>
      </c>
      <c r="R246" s="60" t="s">
        <v>92</v>
      </c>
      <c r="S246" s="60" t="s">
        <v>92</v>
      </c>
      <c r="T246" s="60" t="s">
        <v>94</v>
      </c>
      <c r="U246" s="60" t="s">
        <v>108</v>
      </c>
      <c r="V246" s="60" t="s">
        <v>92</v>
      </c>
      <c r="W246" s="60" t="s">
        <v>90</v>
      </c>
      <c r="X246" s="63" t="s">
        <v>95</v>
      </c>
    </row>
    <row r="247" spans="1:24">
      <c r="A247" s="60">
        <v>1192</v>
      </c>
      <c r="B247" s="61" t="s">
        <v>1615</v>
      </c>
      <c r="C247" s="62" t="s">
        <v>346</v>
      </c>
      <c r="D247" s="62" t="s">
        <v>319</v>
      </c>
      <c r="E247" s="60" t="s">
        <v>163</v>
      </c>
      <c r="F247" s="60" t="s">
        <v>87</v>
      </c>
      <c r="G247" s="60" t="s">
        <v>107</v>
      </c>
      <c r="H247" s="60" t="s">
        <v>100</v>
      </c>
      <c r="I247" s="60" t="s">
        <v>101</v>
      </c>
      <c r="J247" s="60" t="s">
        <v>2</v>
      </c>
      <c r="K247" s="60" t="s">
        <v>2</v>
      </c>
      <c r="L247" s="60">
        <v>41</v>
      </c>
      <c r="M247" s="60" t="s">
        <v>87</v>
      </c>
      <c r="N247" s="60">
        <v>3</v>
      </c>
      <c r="O247" s="60" t="s">
        <v>87</v>
      </c>
      <c r="P247" s="60">
        <v>3</v>
      </c>
      <c r="Q247" s="60" t="s">
        <v>22</v>
      </c>
      <c r="R247" s="60" t="s">
        <v>92</v>
      </c>
      <c r="S247" s="60" t="s">
        <v>92</v>
      </c>
      <c r="T247" s="60" t="s">
        <v>94</v>
      </c>
      <c r="U247" s="60" t="s">
        <v>108</v>
      </c>
      <c r="V247" s="60" t="s">
        <v>92</v>
      </c>
      <c r="W247" s="60" t="s">
        <v>93</v>
      </c>
      <c r="X247" s="63" t="s">
        <v>102</v>
      </c>
    </row>
    <row r="248" spans="1:24">
      <c r="A248" s="60">
        <v>316</v>
      </c>
      <c r="B248" s="61" t="s">
        <v>345</v>
      </c>
      <c r="C248" s="62" t="s">
        <v>346</v>
      </c>
      <c r="D248" s="62" t="s">
        <v>347</v>
      </c>
      <c r="E248" s="60" t="s">
        <v>50</v>
      </c>
      <c r="F248" s="60" t="s">
        <v>87</v>
      </c>
      <c r="G248" s="60" t="s">
        <v>117</v>
      </c>
      <c r="H248" s="60" t="s">
        <v>100</v>
      </c>
      <c r="I248" s="60" t="s">
        <v>101</v>
      </c>
      <c r="J248" s="60" t="s">
        <v>2</v>
      </c>
      <c r="K248" s="60" t="s">
        <v>2</v>
      </c>
      <c r="L248" s="60">
        <v>208</v>
      </c>
      <c r="M248" s="60" t="s">
        <v>87</v>
      </c>
      <c r="N248" s="60">
        <v>16</v>
      </c>
      <c r="O248" s="60" t="s">
        <v>87</v>
      </c>
      <c r="P248" s="60">
        <v>16</v>
      </c>
      <c r="Q248" s="60" t="s">
        <v>22</v>
      </c>
      <c r="R248" s="60" t="s">
        <v>92</v>
      </c>
      <c r="S248" s="60" t="s">
        <v>92</v>
      </c>
      <c r="T248" s="60" t="s">
        <v>94</v>
      </c>
      <c r="U248" s="60" t="s">
        <v>108</v>
      </c>
      <c r="V248" s="60" t="s">
        <v>92</v>
      </c>
      <c r="W248" s="60" t="s">
        <v>93</v>
      </c>
      <c r="X248" s="63" t="s">
        <v>102</v>
      </c>
    </row>
    <row r="249" spans="1:24">
      <c r="A249" s="60">
        <v>138</v>
      </c>
      <c r="B249" s="61" t="s">
        <v>1196</v>
      </c>
      <c r="C249" s="62" t="s">
        <v>1197</v>
      </c>
      <c r="D249" s="62" t="s">
        <v>1198</v>
      </c>
      <c r="E249" s="60" t="s">
        <v>111</v>
      </c>
      <c r="F249" s="60" t="s">
        <v>170</v>
      </c>
      <c r="G249" s="60" t="s">
        <v>150</v>
      </c>
      <c r="H249" s="60" t="s">
        <v>100</v>
      </c>
      <c r="I249" s="60" t="s">
        <v>90</v>
      </c>
      <c r="J249" s="60" t="s">
        <v>2</v>
      </c>
      <c r="K249" s="60" t="s">
        <v>2</v>
      </c>
      <c r="L249" s="60">
        <v>200</v>
      </c>
      <c r="M249" s="60">
        <v>100</v>
      </c>
      <c r="N249" s="60">
        <v>2</v>
      </c>
      <c r="O249" s="60">
        <v>1</v>
      </c>
      <c r="P249" s="60" t="s">
        <v>172</v>
      </c>
      <c r="Q249" s="60" t="s">
        <v>92</v>
      </c>
      <c r="R249" s="60" t="s">
        <v>92</v>
      </c>
      <c r="S249" s="60" t="s">
        <v>3</v>
      </c>
      <c r="T249" s="60" t="s">
        <v>94</v>
      </c>
      <c r="U249" s="60" t="s">
        <v>90</v>
      </c>
      <c r="V249" s="60" t="s">
        <v>92</v>
      </c>
      <c r="W249" s="60" t="s">
        <v>101</v>
      </c>
      <c r="X249" s="63" t="s">
        <v>95</v>
      </c>
    </row>
    <row r="250" spans="1:24">
      <c r="A250" s="60">
        <v>1295</v>
      </c>
      <c r="B250" s="61" t="s">
        <v>1354</v>
      </c>
      <c r="C250" s="62" t="s">
        <v>1355</v>
      </c>
      <c r="D250" s="62" t="s">
        <v>647</v>
      </c>
      <c r="E250" s="60" t="s">
        <v>318</v>
      </c>
      <c r="F250" s="60" t="s">
        <v>170</v>
      </c>
      <c r="G250" s="60" t="s">
        <v>99</v>
      </c>
      <c r="H250" s="60" t="s">
        <v>707</v>
      </c>
      <c r="I250" s="60" t="s">
        <v>101</v>
      </c>
      <c r="J250" s="60" t="s">
        <v>2</v>
      </c>
      <c r="K250" s="60" t="s">
        <v>3</v>
      </c>
      <c r="L250" s="60" t="s">
        <v>87</v>
      </c>
      <c r="M250" s="60">
        <v>100</v>
      </c>
      <c r="N250" s="60" t="s">
        <v>87</v>
      </c>
      <c r="O250" s="60">
        <v>1</v>
      </c>
      <c r="P250" s="60" t="s">
        <v>729</v>
      </c>
      <c r="Q250" s="60" t="s">
        <v>92</v>
      </c>
      <c r="R250" s="60" t="s">
        <v>92</v>
      </c>
      <c r="S250" s="60" t="s">
        <v>38</v>
      </c>
      <c r="T250" s="60" t="s">
        <v>92</v>
      </c>
      <c r="U250" s="60" t="s">
        <v>108</v>
      </c>
      <c r="V250" s="60" t="s">
        <v>92</v>
      </c>
      <c r="W250" s="60" t="s">
        <v>93</v>
      </c>
      <c r="X250" s="63" t="s">
        <v>102</v>
      </c>
    </row>
    <row r="251" spans="1:24">
      <c r="A251" s="60">
        <v>176</v>
      </c>
      <c r="B251" s="61" t="s">
        <v>906</v>
      </c>
      <c r="C251" s="62" t="s">
        <v>907</v>
      </c>
      <c r="D251" s="62" t="s">
        <v>908</v>
      </c>
      <c r="E251" s="60" t="s">
        <v>157</v>
      </c>
      <c r="F251" s="60" t="s">
        <v>87</v>
      </c>
      <c r="G251" s="60" t="s">
        <v>142</v>
      </c>
      <c r="H251" s="60" t="s">
        <v>707</v>
      </c>
      <c r="I251" s="60" t="s">
        <v>101</v>
      </c>
      <c r="J251" s="60" t="s">
        <v>3</v>
      </c>
      <c r="K251" s="60" t="s">
        <v>2</v>
      </c>
      <c r="L251" s="60" t="s">
        <v>87</v>
      </c>
      <c r="M251" s="60">
        <v>61</v>
      </c>
      <c r="N251" s="60" t="s">
        <v>87</v>
      </c>
      <c r="O251" s="60">
        <v>12</v>
      </c>
      <c r="P251" s="60" t="s">
        <v>782</v>
      </c>
      <c r="Q251" s="60" t="s">
        <v>19</v>
      </c>
      <c r="R251" s="60" t="s">
        <v>20</v>
      </c>
      <c r="S251" s="60" t="s">
        <v>92</v>
      </c>
      <c r="T251" s="60" t="s">
        <v>94</v>
      </c>
      <c r="U251" s="60" t="s">
        <v>90</v>
      </c>
      <c r="V251" s="60" t="s">
        <v>92</v>
      </c>
      <c r="W251" s="60" t="s">
        <v>93</v>
      </c>
      <c r="X251" s="63" t="s">
        <v>102</v>
      </c>
    </row>
    <row r="252" spans="1:24">
      <c r="A252" s="60">
        <v>1174</v>
      </c>
      <c r="B252" s="61" t="s">
        <v>909</v>
      </c>
      <c r="C252" s="62" t="s">
        <v>910</v>
      </c>
      <c r="D252" s="62" t="s">
        <v>238</v>
      </c>
      <c r="E252" s="60" t="s">
        <v>128</v>
      </c>
      <c r="F252" s="60" t="s">
        <v>170</v>
      </c>
      <c r="G252" s="60" t="s">
        <v>402</v>
      </c>
      <c r="H252" s="60" t="s">
        <v>707</v>
      </c>
      <c r="I252" s="60" t="s">
        <v>90</v>
      </c>
      <c r="J252" s="60" t="s">
        <v>2</v>
      </c>
      <c r="K252" s="60" t="s">
        <v>2</v>
      </c>
      <c r="L252" s="60" t="s">
        <v>87</v>
      </c>
      <c r="M252" s="60">
        <v>100</v>
      </c>
      <c r="N252" s="60" t="s">
        <v>87</v>
      </c>
      <c r="O252" s="60">
        <v>1</v>
      </c>
      <c r="P252" s="60" t="s">
        <v>729</v>
      </c>
      <c r="Q252" s="60" t="s">
        <v>24</v>
      </c>
      <c r="R252" s="60" t="s">
        <v>21</v>
      </c>
      <c r="S252" s="60" t="s">
        <v>38</v>
      </c>
      <c r="T252" s="60" t="s">
        <v>94</v>
      </c>
      <c r="U252" s="60" t="s">
        <v>108</v>
      </c>
      <c r="V252" s="60" t="s">
        <v>94</v>
      </c>
      <c r="W252" s="60" t="s">
        <v>93</v>
      </c>
      <c r="X252" s="63" t="s">
        <v>95</v>
      </c>
    </row>
    <row r="253" spans="1:24">
      <c r="A253" s="60">
        <v>617</v>
      </c>
      <c r="B253" s="61" t="s">
        <v>348</v>
      </c>
      <c r="C253" s="62" t="s">
        <v>349</v>
      </c>
      <c r="D253" s="62" t="s">
        <v>350</v>
      </c>
      <c r="E253" s="60" t="s">
        <v>154</v>
      </c>
      <c r="F253" s="60" t="s">
        <v>87</v>
      </c>
      <c r="G253" s="60" t="s">
        <v>142</v>
      </c>
      <c r="H253" s="60" t="s">
        <v>100</v>
      </c>
      <c r="I253" s="60" t="s">
        <v>101</v>
      </c>
      <c r="J253" s="60" t="s">
        <v>2</v>
      </c>
      <c r="K253" s="60" t="s">
        <v>2</v>
      </c>
      <c r="L253" s="60">
        <v>223</v>
      </c>
      <c r="M253" s="60" t="s">
        <v>87</v>
      </c>
      <c r="N253" s="60">
        <v>21</v>
      </c>
      <c r="O253" s="60" t="s">
        <v>87</v>
      </c>
      <c r="P253" s="60">
        <v>21</v>
      </c>
      <c r="Q253" s="60" t="s">
        <v>19</v>
      </c>
      <c r="R253" s="60" t="s">
        <v>20</v>
      </c>
      <c r="S253" s="60" t="s">
        <v>37</v>
      </c>
      <c r="T253" s="60" t="s">
        <v>94</v>
      </c>
      <c r="U253" s="60" t="s">
        <v>101</v>
      </c>
      <c r="V253" s="60" t="s">
        <v>92</v>
      </c>
      <c r="W253" s="60" t="s">
        <v>101</v>
      </c>
      <c r="X253" s="63" t="s">
        <v>102</v>
      </c>
    </row>
    <row r="254" spans="1:24">
      <c r="A254" s="60">
        <v>506</v>
      </c>
      <c r="B254" s="61" t="s">
        <v>911</v>
      </c>
      <c r="C254" s="62" t="s">
        <v>912</v>
      </c>
      <c r="D254" s="62" t="s">
        <v>364</v>
      </c>
      <c r="E254" s="60" t="s">
        <v>149</v>
      </c>
      <c r="F254" s="60" t="s">
        <v>87</v>
      </c>
      <c r="G254" s="60" t="s">
        <v>270</v>
      </c>
      <c r="H254" s="60" t="s">
        <v>707</v>
      </c>
      <c r="I254" s="60" t="s">
        <v>90</v>
      </c>
      <c r="J254" s="60" t="s">
        <v>2</v>
      </c>
      <c r="K254" s="60" t="s">
        <v>2</v>
      </c>
      <c r="L254" s="60" t="s">
        <v>87</v>
      </c>
      <c r="M254" s="60">
        <v>34</v>
      </c>
      <c r="N254" s="60" t="s">
        <v>87</v>
      </c>
      <c r="O254" s="60">
        <v>13</v>
      </c>
      <c r="P254" s="60" t="s">
        <v>718</v>
      </c>
      <c r="Q254" s="60" t="s">
        <v>24</v>
      </c>
      <c r="R254" s="60" t="s">
        <v>92</v>
      </c>
      <c r="S254" s="60" t="s">
        <v>37</v>
      </c>
      <c r="T254" s="60" t="s">
        <v>94</v>
      </c>
      <c r="U254" s="60" t="s">
        <v>108</v>
      </c>
      <c r="V254" s="60" t="s">
        <v>94</v>
      </c>
      <c r="W254" s="60" t="s">
        <v>93</v>
      </c>
      <c r="X254" s="63" t="s">
        <v>95</v>
      </c>
    </row>
    <row r="255" spans="1:24">
      <c r="A255" s="60">
        <v>535</v>
      </c>
      <c r="B255" s="61" t="s">
        <v>351</v>
      </c>
      <c r="C255" s="62" t="s">
        <v>352</v>
      </c>
      <c r="D255" s="62" t="s">
        <v>353</v>
      </c>
      <c r="E255" s="60" t="s">
        <v>141</v>
      </c>
      <c r="F255" s="60" t="s">
        <v>87</v>
      </c>
      <c r="G255" s="60" t="s">
        <v>150</v>
      </c>
      <c r="H255" s="60" t="s">
        <v>707</v>
      </c>
      <c r="I255" s="60" t="s">
        <v>90</v>
      </c>
      <c r="J255" s="60" t="s">
        <v>2</v>
      </c>
      <c r="K255" s="60" t="s">
        <v>2</v>
      </c>
      <c r="L255" s="60" t="s">
        <v>87</v>
      </c>
      <c r="M255" s="60">
        <v>50</v>
      </c>
      <c r="N255" s="60" t="s">
        <v>87</v>
      </c>
      <c r="O255" s="60">
        <v>19</v>
      </c>
      <c r="P255" s="60" t="s">
        <v>770</v>
      </c>
      <c r="Q255" s="60" t="s">
        <v>24</v>
      </c>
      <c r="R255" s="60" t="s">
        <v>21</v>
      </c>
      <c r="S255" s="60" t="s">
        <v>92</v>
      </c>
      <c r="T255" s="60" t="s">
        <v>94</v>
      </c>
      <c r="U255" s="60" t="s">
        <v>108</v>
      </c>
      <c r="V255" s="60" t="s">
        <v>92</v>
      </c>
      <c r="W255" s="60" t="s">
        <v>93</v>
      </c>
      <c r="X255" s="63" t="s">
        <v>95</v>
      </c>
    </row>
    <row r="256" spans="1:24">
      <c r="A256" s="60">
        <v>358</v>
      </c>
      <c r="B256" s="61" t="s">
        <v>1616</v>
      </c>
      <c r="C256" s="62" t="s">
        <v>1617</v>
      </c>
      <c r="D256" s="62" t="s">
        <v>1618</v>
      </c>
      <c r="E256" s="60" t="s">
        <v>152</v>
      </c>
      <c r="F256" s="60" t="s">
        <v>87</v>
      </c>
      <c r="G256" s="60" t="s">
        <v>112</v>
      </c>
      <c r="H256" s="60" t="s">
        <v>707</v>
      </c>
      <c r="I256" s="60" t="s">
        <v>101</v>
      </c>
      <c r="J256" s="60" t="s">
        <v>2</v>
      </c>
      <c r="K256" s="60" t="s">
        <v>2</v>
      </c>
      <c r="L256" s="60" t="s">
        <v>87</v>
      </c>
      <c r="M256" s="60">
        <v>27</v>
      </c>
      <c r="N256" s="60" t="s">
        <v>87</v>
      </c>
      <c r="O256" s="60">
        <v>5</v>
      </c>
      <c r="P256" s="60" t="s">
        <v>708</v>
      </c>
      <c r="Q256" s="60" t="s">
        <v>22</v>
      </c>
      <c r="R256" s="60" t="s">
        <v>21</v>
      </c>
      <c r="S256" s="60" t="s">
        <v>3</v>
      </c>
      <c r="T256" s="60" t="s">
        <v>94</v>
      </c>
      <c r="U256" s="60" t="s">
        <v>108</v>
      </c>
      <c r="V256" s="60" t="s">
        <v>92</v>
      </c>
      <c r="W256" s="60" t="s">
        <v>101</v>
      </c>
      <c r="X256" s="63" t="s">
        <v>102</v>
      </c>
    </row>
    <row r="257" spans="1:24">
      <c r="A257" s="60">
        <v>1289</v>
      </c>
      <c r="B257" s="61" t="s">
        <v>1619</v>
      </c>
      <c r="C257" s="62" t="s">
        <v>914</v>
      </c>
      <c r="D257" s="62" t="s">
        <v>1620</v>
      </c>
      <c r="E257" s="60" t="s">
        <v>194</v>
      </c>
      <c r="F257" s="60" t="s">
        <v>170</v>
      </c>
      <c r="G257" s="60" t="s">
        <v>150</v>
      </c>
      <c r="H257" s="60" t="s">
        <v>707</v>
      </c>
      <c r="I257" s="60" t="s">
        <v>90</v>
      </c>
      <c r="J257" s="60" t="s">
        <v>2</v>
      </c>
      <c r="K257" s="60" t="s">
        <v>2</v>
      </c>
      <c r="L257" s="60" t="s">
        <v>87</v>
      </c>
      <c r="M257" s="60">
        <v>100</v>
      </c>
      <c r="N257" s="60" t="s">
        <v>87</v>
      </c>
      <c r="O257" s="60">
        <v>1</v>
      </c>
      <c r="P257" s="60" t="s">
        <v>729</v>
      </c>
      <c r="Q257" s="60" t="s">
        <v>19</v>
      </c>
      <c r="R257" s="60" t="s">
        <v>20</v>
      </c>
      <c r="S257" s="60" t="s">
        <v>38</v>
      </c>
      <c r="T257" s="60" t="s">
        <v>94</v>
      </c>
      <c r="U257" s="60" t="s">
        <v>108</v>
      </c>
      <c r="V257" s="60" t="s">
        <v>92</v>
      </c>
      <c r="W257" s="60" t="s">
        <v>93</v>
      </c>
      <c r="X257" s="63" t="s">
        <v>95</v>
      </c>
    </row>
    <row r="258" spans="1:24">
      <c r="A258" s="60">
        <v>930</v>
      </c>
      <c r="B258" s="61" t="s">
        <v>913</v>
      </c>
      <c r="C258" s="62" t="s">
        <v>914</v>
      </c>
      <c r="D258" s="62" t="s">
        <v>915</v>
      </c>
      <c r="E258" s="60" t="s">
        <v>133</v>
      </c>
      <c r="F258" s="60" t="s">
        <v>170</v>
      </c>
      <c r="G258" s="60" t="s">
        <v>182</v>
      </c>
      <c r="H258" s="60" t="s">
        <v>707</v>
      </c>
      <c r="I258" s="60" t="s">
        <v>90</v>
      </c>
      <c r="J258" s="60" t="s">
        <v>2</v>
      </c>
      <c r="K258" s="60" t="s">
        <v>2</v>
      </c>
      <c r="L258" s="60" t="s">
        <v>87</v>
      </c>
      <c r="M258" s="60">
        <v>100</v>
      </c>
      <c r="N258" s="60" t="s">
        <v>87</v>
      </c>
      <c r="O258" s="60">
        <v>1</v>
      </c>
      <c r="P258" s="60" t="s">
        <v>729</v>
      </c>
      <c r="Q258" s="60" t="s">
        <v>92</v>
      </c>
      <c r="R258" s="60" t="s">
        <v>21</v>
      </c>
      <c r="S258" s="60" t="s">
        <v>92</v>
      </c>
      <c r="T258" s="60" t="s">
        <v>92</v>
      </c>
      <c r="U258" s="60" t="s">
        <v>101</v>
      </c>
      <c r="V258" s="60" t="s">
        <v>92</v>
      </c>
      <c r="W258" s="60" t="s">
        <v>93</v>
      </c>
      <c r="X258" s="63" t="s">
        <v>95</v>
      </c>
    </row>
    <row r="259" spans="1:24">
      <c r="A259" s="60">
        <v>934</v>
      </c>
      <c r="B259" s="61" t="s">
        <v>1621</v>
      </c>
      <c r="C259" s="62" t="s">
        <v>914</v>
      </c>
      <c r="D259" s="62" t="s">
        <v>1622</v>
      </c>
      <c r="E259" s="60" t="s">
        <v>133</v>
      </c>
      <c r="F259" s="60" t="s">
        <v>170</v>
      </c>
      <c r="G259" s="60" t="s">
        <v>88</v>
      </c>
      <c r="H259" s="60" t="s">
        <v>707</v>
      </c>
      <c r="I259" s="60" t="s">
        <v>101</v>
      </c>
      <c r="J259" s="60" t="s">
        <v>2</v>
      </c>
      <c r="K259" s="60" t="s">
        <v>2</v>
      </c>
      <c r="L259" s="60" t="s">
        <v>87</v>
      </c>
      <c r="M259" s="60">
        <v>100</v>
      </c>
      <c r="N259" s="60" t="s">
        <v>87</v>
      </c>
      <c r="O259" s="60">
        <v>1</v>
      </c>
      <c r="P259" s="60" t="s">
        <v>729</v>
      </c>
      <c r="Q259" s="60" t="s">
        <v>92</v>
      </c>
      <c r="R259" s="60" t="s">
        <v>20</v>
      </c>
      <c r="S259" s="60" t="s">
        <v>38</v>
      </c>
      <c r="T259" s="60" t="s">
        <v>92</v>
      </c>
      <c r="U259" s="60" t="s">
        <v>108</v>
      </c>
      <c r="V259" s="60" t="s">
        <v>92</v>
      </c>
      <c r="W259" s="60" t="s">
        <v>93</v>
      </c>
      <c r="X259" s="63" t="s">
        <v>102</v>
      </c>
    </row>
    <row r="260" spans="1:24">
      <c r="A260" s="60">
        <v>1237</v>
      </c>
      <c r="B260" s="61" t="s">
        <v>916</v>
      </c>
      <c r="C260" s="62" t="s">
        <v>917</v>
      </c>
      <c r="D260" s="62" t="s">
        <v>839</v>
      </c>
      <c r="E260" s="60" t="s">
        <v>127</v>
      </c>
      <c r="F260" s="60" t="s">
        <v>170</v>
      </c>
      <c r="G260" s="60" t="s">
        <v>99</v>
      </c>
      <c r="H260" s="60" t="s">
        <v>707</v>
      </c>
      <c r="I260" s="60" t="s">
        <v>101</v>
      </c>
      <c r="J260" s="60" t="s">
        <v>2</v>
      </c>
      <c r="K260" s="60" t="s">
        <v>2</v>
      </c>
      <c r="L260" s="60" t="s">
        <v>87</v>
      </c>
      <c r="M260" s="60">
        <v>100</v>
      </c>
      <c r="N260" s="60" t="s">
        <v>87</v>
      </c>
      <c r="O260" s="60">
        <v>1</v>
      </c>
      <c r="P260" s="60" t="s">
        <v>729</v>
      </c>
      <c r="Q260" s="60" t="s">
        <v>92</v>
      </c>
      <c r="R260" s="60" t="s">
        <v>21</v>
      </c>
      <c r="S260" s="60" t="s">
        <v>38</v>
      </c>
      <c r="T260" s="60" t="s">
        <v>94</v>
      </c>
      <c r="U260" s="60" t="s">
        <v>90</v>
      </c>
      <c r="V260" s="60" t="s">
        <v>94</v>
      </c>
      <c r="W260" s="60" t="s">
        <v>93</v>
      </c>
      <c r="X260" s="63" t="s">
        <v>102</v>
      </c>
    </row>
    <row r="261" spans="1:24">
      <c r="A261" s="60">
        <v>1195</v>
      </c>
      <c r="B261" s="61" t="s">
        <v>1623</v>
      </c>
      <c r="C261" s="62" t="s">
        <v>1624</v>
      </c>
      <c r="D261" s="62" t="s">
        <v>364</v>
      </c>
      <c r="E261" s="60" t="s">
        <v>163</v>
      </c>
      <c r="F261" s="60" t="s">
        <v>170</v>
      </c>
      <c r="G261" s="60" t="s">
        <v>99</v>
      </c>
      <c r="H261" s="60" t="s">
        <v>707</v>
      </c>
      <c r="I261" s="60" t="s">
        <v>90</v>
      </c>
      <c r="J261" s="60" t="s">
        <v>3</v>
      </c>
      <c r="K261" s="60" t="s">
        <v>3</v>
      </c>
      <c r="L261" s="60" t="s">
        <v>87</v>
      </c>
      <c r="M261" s="60">
        <v>100</v>
      </c>
      <c r="N261" s="60" t="s">
        <v>87</v>
      </c>
      <c r="O261" s="60">
        <v>1</v>
      </c>
      <c r="P261" s="60" t="s">
        <v>729</v>
      </c>
      <c r="Q261" s="60" t="s">
        <v>92</v>
      </c>
      <c r="R261" s="60" t="s">
        <v>20</v>
      </c>
      <c r="S261" s="60" t="s">
        <v>92</v>
      </c>
      <c r="T261" s="60" t="s">
        <v>94</v>
      </c>
      <c r="U261" s="60" t="s">
        <v>90</v>
      </c>
      <c r="V261" s="60" t="s">
        <v>94</v>
      </c>
      <c r="W261" s="60" t="s">
        <v>93</v>
      </c>
      <c r="X261" s="63" t="s">
        <v>95</v>
      </c>
    </row>
    <row r="262" spans="1:24">
      <c r="A262" s="60">
        <v>199</v>
      </c>
      <c r="B262" s="61" t="s">
        <v>354</v>
      </c>
      <c r="C262" s="62" t="s">
        <v>355</v>
      </c>
      <c r="D262" s="62" t="s">
        <v>173</v>
      </c>
      <c r="E262" s="60" t="s">
        <v>218</v>
      </c>
      <c r="F262" s="60" t="s">
        <v>87</v>
      </c>
      <c r="G262" s="60" t="s">
        <v>129</v>
      </c>
      <c r="H262" s="60" t="s">
        <v>100</v>
      </c>
      <c r="I262" s="60" t="s">
        <v>101</v>
      </c>
      <c r="J262" s="60" t="s">
        <v>2</v>
      </c>
      <c r="K262" s="60" t="s">
        <v>2</v>
      </c>
      <c r="L262" s="60">
        <v>132</v>
      </c>
      <c r="M262" s="60">
        <v>17</v>
      </c>
      <c r="N262" s="60">
        <v>4</v>
      </c>
      <c r="O262" s="60" t="s">
        <v>118</v>
      </c>
      <c r="P262" s="60" t="s">
        <v>174</v>
      </c>
      <c r="Q262" s="60" t="s">
        <v>92</v>
      </c>
      <c r="R262" s="60" t="s">
        <v>92</v>
      </c>
      <c r="S262" s="60" t="s">
        <v>3</v>
      </c>
      <c r="T262" s="60" t="s">
        <v>94</v>
      </c>
      <c r="U262" s="60" t="s">
        <v>101</v>
      </c>
      <c r="V262" s="60" t="s">
        <v>92</v>
      </c>
      <c r="W262" s="60" t="s">
        <v>101</v>
      </c>
      <c r="X262" s="63" t="s">
        <v>102</v>
      </c>
    </row>
    <row r="263" spans="1:24">
      <c r="A263" s="60">
        <v>116</v>
      </c>
      <c r="B263" s="61" t="s">
        <v>918</v>
      </c>
      <c r="C263" s="62" t="s">
        <v>919</v>
      </c>
      <c r="D263" s="62" t="s">
        <v>647</v>
      </c>
      <c r="E263" s="60" t="s">
        <v>146</v>
      </c>
      <c r="F263" s="60" t="s">
        <v>87</v>
      </c>
      <c r="G263" s="60" t="s">
        <v>182</v>
      </c>
      <c r="H263" s="60" t="s">
        <v>707</v>
      </c>
      <c r="I263" s="60" t="s">
        <v>101</v>
      </c>
      <c r="J263" s="60" t="s">
        <v>3</v>
      </c>
      <c r="K263" s="60" t="s">
        <v>3</v>
      </c>
      <c r="L263" s="60" t="s">
        <v>87</v>
      </c>
      <c r="M263" s="60">
        <v>28</v>
      </c>
      <c r="N263" s="60" t="s">
        <v>87</v>
      </c>
      <c r="O263" s="60">
        <v>7</v>
      </c>
      <c r="P263" s="60" t="s">
        <v>722</v>
      </c>
      <c r="Q263" s="60" t="s">
        <v>19</v>
      </c>
      <c r="R263" s="60" t="s">
        <v>21</v>
      </c>
      <c r="S263" s="60" t="s">
        <v>92</v>
      </c>
      <c r="T263" s="60" t="s">
        <v>94</v>
      </c>
      <c r="U263" s="60" t="s">
        <v>108</v>
      </c>
      <c r="V263" s="60" t="s">
        <v>94</v>
      </c>
      <c r="W263" s="60" t="s">
        <v>90</v>
      </c>
      <c r="X263" s="63" t="s">
        <v>102</v>
      </c>
    </row>
    <row r="264" spans="1:24">
      <c r="A264" s="60">
        <v>319</v>
      </c>
      <c r="B264" s="61" t="s">
        <v>1266</v>
      </c>
      <c r="C264" s="62" t="s">
        <v>1267</v>
      </c>
      <c r="D264" s="62" t="s">
        <v>832</v>
      </c>
      <c r="E264" s="60" t="s">
        <v>50</v>
      </c>
      <c r="F264" s="60" t="s">
        <v>87</v>
      </c>
      <c r="G264" s="60" t="s">
        <v>117</v>
      </c>
      <c r="H264" s="60" t="s">
        <v>100</v>
      </c>
      <c r="I264" s="60" t="s">
        <v>101</v>
      </c>
      <c r="J264" s="60" t="s">
        <v>2</v>
      </c>
      <c r="K264" s="60" t="s">
        <v>2</v>
      </c>
      <c r="L264" s="60">
        <v>97</v>
      </c>
      <c r="M264" s="60" t="s">
        <v>87</v>
      </c>
      <c r="N264" s="60">
        <v>9</v>
      </c>
      <c r="O264" s="60" t="s">
        <v>87</v>
      </c>
      <c r="P264" s="60">
        <v>9</v>
      </c>
      <c r="Q264" s="60" t="s">
        <v>92</v>
      </c>
      <c r="R264" s="60" t="s">
        <v>20</v>
      </c>
      <c r="S264" s="60" t="s">
        <v>37</v>
      </c>
      <c r="T264" s="60" t="s">
        <v>94</v>
      </c>
      <c r="U264" s="60" t="s">
        <v>108</v>
      </c>
      <c r="V264" s="60" t="s">
        <v>92</v>
      </c>
      <c r="W264" s="60" t="s">
        <v>108</v>
      </c>
      <c r="X264" s="63" t="s">
        <v>102</v>
      </c>
    </row>
    <row r="265" spans="1:24">
      <c r="A265" s="60">
        <v>591</v>
      </c>
      <c r="B265" s="61" t="s">
        <v>356</v>
      </c>
      <c r="C265" s="62" t="s">
        <v>357</v>
      </c>
      <c r="D265" s="62" t="s">
        <v>358</v>
      </c>
      <c r="E265" s="60" t="s">
        <v>163</v>
      </c>
      <c r="F265" s="60" t="s">
        <v>87</v>
      </c>
      <c r="G265" s="60" t="s">
        <v>99</v>
      </c>
      <c r="H265" s="60" t="s">
        <v>100</v>
      </c>
      <c r="I265" s="60" t="s">
        <v>101</v>
      </c>
      <c r="J265" s="60" t="s">
        <v>2</v>
      </c>
      <c r="K265" s="60" t="s">
        <v>2</v>
      </c>
      <c r="L265" s="60">
        <v>69</v>
      </c>
      <c r="M265" s="60">
        <v>10</v>
      </c>
      <c r="N265" s="60">
        <v>3</v>
      </c>
      <c r="O265" s="60" t="s">
        <v>108</v>
      </c>
      <c r="P265" s="60" t="s">
        <v>134</v>
      </c>
      <c r="Q265" s="60" t="s">
        <v>92</v>
      </c>
      <c r="R265" s="60" t="s">
        <v>20</v>
      </c>
      <c r="S265" s="60" t="s">
        <v>3</v>
      </c>
      <c r="T265" s="60" t="s">
        <v>94</v>
      </c>
      <c r="U265" s="60" t="s">
        <v>108</v>
      </c>
      <c r="V265" s="60" t="s">
        <v>92</v>
      </c>
      <c r="W265" s="60" t="s">
        <v>93</v>
      </c>
      <c r="X265" s="63" t="s">
        <v>102</v>
      </c>
    </row>
    <row r="266" spans="1:24">
      <c r="A266" s="60">
        <v>1331</v>
      </c>
      <c r="B266" s="61" t="s">
        <v>1625</v>
      </c>
      <c r="C266" s="62" t="s">
        <v>1626</v>
      </c>
      <c r="D266" s="62" t="s">
        <v>725</v>
      </c>
      <c r="E266" s="60" t="s">
        <v>190</v>
      </c>
      <c r="F266" s="60" t="s">
        <v>170</v>
      </c>
      <c r="G266" s="60" t="s">
        <v>99</v>
      </c>
      <c r="H266" s="60" t="s">
        <v>707</v>
      </c>
      <c r="I266" s="60" t="s">
        <v>90</v>
      </c>
      <c r="J266" s="60" t="s">
        <v>2</v>
      </c>
      <c r="K266" s="60" t="s">
        <v>2</v>
      </c>
      <c r="L266" s="60" t="s">
        <v>87</v>
      </c>
      <c r="M266" s="60">
        <v>100</v>
      </c>
      <c r="N266" s="60" t="s">
        <v>87</v>
      </c>
      <c r="O266" s="60">
        <v>2</v>
      </c>
      <c r="P266" s="60" t="s">
        <v>807</v>
      </c>
      <c r="Q266" s="60" t="s">
        <v>92</v>
      </c>
      <c r="R266" s="60" t="s">
        <v>21</v>
      </c>
      <c r="S266" s="60" t="s">
        <v>92</v>
      </c>
      <c r="T266" s="60" t="s">
        <v>94</v>
      </c>
      <c r="U266" s="60" t="s">
        <v>90</v>
      </c>
      <c r="V266" s="60" t="s">
        <v>92</v>
      </c>
      <c r="W266" s="60" t="s">
        <v>93</v>
      </c>
      <c r="X266" s="63" t="s">
        <v>95</v>
      </c>
    </row>
    <row r="267" spans="1:24">
      <c r="A267" s="60">
        <v>408</v>
      </c>
      <c r="B267" s="61" t="s">
        <v>360</v>
      </c>
      <c r="C267" s="62" t="s">
        <v>361</v>
      </c>
      <c r="D267" s="62" t="s">
        <v>254</v>
      </c>
      <c r="E267" s="60" t="s">
        <v>127</v>
      </c>
      <c r="F267" s="60" t="s">
        <v>87</v>
      </c>
      <c r="G267" s="60" t="s">
        <v>142</v>
      </c>
      <c r="H267" s="60" t="s">
        <v>100</v>
      </c>
      <c r="I267" s="60" t="s">
        <v>101</v>
      </c>
      <c r="J267" s="60" t="s">
        <v>3</v>
      </c>
      <c r="K267" s="60" t="s">
        <v>3</v>
      </c>
      <c r="L267" s="60">
        <v>213</v>
      </c>
      <c r="M267" s="60" t="s">
        <v>87</v>
      </c>
      <c r="N267" s="60">
        <v>12</v>
      </c>
      <c r="O267" s="60" t="s">
        <v>87</v>
      </c>
      <c r="P267" s="60">
        <v>12</v>
      </c>
      <c r="Q267" s="60" t="s">
        <v>19</v>
      </c>
      <c r="R267" s="60" t="s">
        <v>92</v>
      </c>
      <c r="S267" s="60" t="s">
        <v>92</v>
      </c>
      <c r="T267" s="60" t="s">
        <v>92</v>
      </c>
      <c r="U267" s="60" t="s">
        <v>108</v>
      </c>
      <c r="V267" s="60" t="s">
        <v>92</v>
      </c>
      <c r="W267" s="60" t="s">
        <v>93</v>
      </c>
      <c r="X267" s="63" t="s">
        <v>102</v>
      </c>
    </row>
    <row r="268" spans="1:24">
      <c r="A268" s="60">
        <v>530</v>
      </c>
      <c r="B268" s="61" t="s">
        <v>362</v>
      </c>
      <c r="C268" s="62" t="s">
        <v>363</v>
      </c>
      <c r="D268" s="62" t="s">
        <v>364</v>
      </c>
      <c r="E268" s="60" t="s">
        <v>141</v>
      </c>
      <c r="F268" s="60" t="s">
        <v>87</v>
      </c>
      <c r="G268" s="60" t="s">
        <v>171</v>
      </c>
      <c r="H268" s="60" t="s">
        <v>100</v>
      </c>
      <c r="I268" s="60" t="s">
        <v>90</v>
      </c>
      <c r="J268" s="60" t="s">
        <v>2</v>
      </c>
      <c r="K268" s="60" t="s">
        <v>2</v>
      </c>
      <c r="L268" s="60">
        <v>171</v>
      </c>
      <c r="M268" s="60" t="s">
        <v>87</v>
      </c>
      <c r="N268" s="60">
        <v>8</v>
      </c>
      <c r="O268" s="60" t="s">
        <v>87</v>
      </c>
      <c r="P268" s="60">
        <v>8</v>
      </c>
      <c r="Q268" s="60" t="s">
        <v>19</v>
      </c>
      <c r="R268" s="60" t="s">
        <v>20</v>
      </c>
      <c r="S268" s="60" t="s">
        <v>3</v>
      </c>
      <c r="T268" s="60" t="s">
        <v>94</v>
      </c>
      <c r="U268" s="60" t="s">
        <v>108</v>
      </c>
      <c r="V268" s="60" t="s">
        <v>92</v>
      </c>
      <c r="W268" s="60" t="s">
        <v>93</v>
      </c>
      <c r="X268" s="63" t="s">
        <v>95</v>
      </c>
    </row>
    <row r="269" spans="1:24">
      <c r="A269" s="60">
        <v>656</v>
      </c>
      <c r="B269" s="61" t="s">
        <v>365</v>
      </c>
      <c r="C269" s="62" t="s">
        <v>366</v>
      </c>
      <c r="D269" s="62" t="s">
        <v>367</v>
      </c>
      <c r="E269" s="60" t="s">
        <v>106</v>
      </c>
      <c r="F269" s="60" t="s">
        <v>87</v>
      </c>
      <c r="G269" s="60" t="s">
        <v>117</v>
      </c>
      <c r="H269" s="60" t="s">
        <v>89</v>
      </c>
      <c r="I269" s="60" t="s">
        <v>101</v>
      </c>
      <c r="J269" s="60" t="s">
        <v>3</v>
      </c>
      <c r="K269" s="60" t="s">
        <v>3</v>
      </c>
      <c r="L269" s="60">
        <v>57</v>
      </c>
      <c r="M269" s="60">
        <v>37</v>
      </c>
      <c r="N269" s="60">
        <v>3</v>
      </c>
      <c r="O269" s="60" t="s">
        <v>118</v>
      </c>
      <c r="P269" s="60" t="s">
        <v>119</v>
      </c>
      <c r="Q269" s="60" t="s">
        <v>92</v>
      </c>
      <c r="R269" s="60" t="s">
        <v>92</v>
      </c>
      <c r="S269" s="60" t="s">
        <v>92</v>
      </c>
      <c r="T269" s="60" t="s">
        <v>94</v>
      </c>
      <c r="U269" s="60" t="s">
        <v>90</v>
      </c>
      <c r="V269" s="60" t="s">
        <v>92</v>
      </c>
      <c r="W269" s="60" t="s">
        <v>93</v>
      </c>
      <c r="X269" s="63" t="s">
        <v>102</v>
      </c>
    </row>
    <row r="270" spans="1:24">
      <c r="A270" s="60">
        <v>1175</v>
      </c>
      <c r="B270" s="61" t="s">
        <v>1627</v>
      </c>
      <c r="C270" s="62" t="s">
        <v>366</v>
      </c>
      <c r="D270" s="62" t="s">
        <v>1628</v>
      </c>
      <c r="E270" s="60" t="s">
        <v>128</v>
      </c>
      <c r="F270" s="60" t="s">
        <v>170</v>
      </c>
      <c r="G270" s="60" t="s">
        <v>182</v>
      </c>
      <c r="H270" s="60" t="s">
        <v>707</v>
      </c>
      <c r="I270" s="60" t="s">
        <v>90</v>
      </c>
      <c r="J270" s="60" t="s">
        <v>2</v>
      </c>
      <c r="K270" s="60" t="s">
        <v>2</v>
      </c>
      <c r="L270" s="60" t="s">
        <v>87</v>
      </c>
      <c r="M270" s="60">
        <v>100</v>
      </c>
      <c r="N270" s="60" t="s">
        <v>87</v>
      </c>
      <c r="O270" s="60">
        <v>2</v>
      </c>
      <c r="P270" s="60" t="s">
        <v>807</v>
      </c>
      <c r="Q270" s="60" t="s">
        <v>19</v>
      </c>
      <c r="R270" s="60" t="s">
        <v>92</v>
      </c>
      <c r="S270" s="60" t="s">
        <v>92</v>
      </c>
      <c r="T270" s="60" t="s">
        <v>92</v>
      </c>
      <c r="U270" s="60" t="s">
        <v>101</v>
      </c>
      <c r="V270" s="60" t="s">
        <v>92</v>
      </c>
      <c r="W270" s="60" t="s">
        <v>93</v>
      </c>
      <c r="X270" s="63" t="s">
        <v>95</v>
      </c>
    </row>
    <row r="271" spans="1:24">
      <c r="A271" s="60">
        <v>768</v>
      </c>
      <c r="B271" s="61" t="s">
        <v>370</v>
      </c>
      <c r="C271" s="62" t="s">
        <v>371</v>
      </c>
      <c r="D271" s="62" t="s">
        <v>372</v>
      </c>
      <c r="E271" s="60" t="s">
        <v>127</v>
      </c>
      <c r="F271" s="60" t="s">
        <v>87</v>
      </c>
      <c r="G271" s="60" t="s">
        <v>171</v>
      </c>
      <c r="H271" s="60" t="s">
        <v>100</v>
      </c>
      <c r="I271" s="60" t="s">
        <v>90</v>
      </c>
      <c r="J271" s="60" t="s">
        <v>3</v>
      </c>
      <c r="K271" s="60" t="s">
        <v>3</v>
      </c>
      <c r="L271" s="60">
        <v>171</v>
      </c>
      <c r="M271" s="60">
        <v>1</v>
      </c>
      <c r="N271" s="60">
        <v>10</v>
      </c>
      <c r="O271" s="60" t="s">
        <v>219</v>
      </c>
      <c r="P271" s="60" t="s">
        <v>304</v>
      </c>
      <c r="Q271" s="60" t="s">
        <v>22</v>
      </c>
      <c r="R271" s="60" t="s">
        <v>20</v>
      </c>
      <c r="S271" s="60" t="s">
        <v>92</v>
      </c>
      <c r="T271" s="60" t="s">
        <v>94</v>
      </c>
      <c r="U271" s="60" t="s">
        <v>108</v>
      </c>
      <c r="V271" s="60" t="s">
        <v>92</v>
      </c>
      <c r="W271" s="60" t="s">
        <v>101</v>
      </c>
      <c r="X271" s="63" t="s">
        <v>95</v>
      </c>
    </row>
    <row r="272" spans="1:24">
      <c r="A272" s="60">
        <v>735</v>
      </c>
      <c r="B272" s="61" t="s">
        <v>373</v>
      </c>
      <c r="C272" s="62" t="s">
        <v>374</v>
      </c>
      <c r="D272" s="62" t="s">
        <v>375</v>
      </c>
      <c r="E272" s="60" t="s">
        <v>226</v>
      </c>
      <c r="F272" s="60" t="s">
        <v>87</v>
      </c>
      <c r="G272" s="60" t="s">
        <v>402</v>
      </c>
      <c r="H272" s="60" t="s">
        <v>100</v>
      </c>
      <c r="I272" s="60" t="s">
        <v>90</v>
      </c>
      <c r="J272" s="60" t="s">
        <v>2</v>
      </c>
      <c r="K272" s="60" t="s">
        <v>2</v>
      </c>
      <c r="L272" s="60">
        <v>173</v>
      </c>
      <c r="M272" s="60" t="s">
        <v>87</v>
      </c>
      <c r="N272" s="60">
        <v>4</v>
      </c>
      <c r="O272" s="60" t="s">
        <v>87</v>
      </c>
      <c r="P272" s="60">
        <v>4</v>
      </c>
      <c r="Q272" s="60" t="s">
        <v>92</v>
      </c>
      <c r="R272" s="60" t="s">
        <v>92</v>
      </c>
      <c r="S272" s="60" t="s">
        <v>3</v>
      </c>
      <c r="T272" s="60" t="s">
        <v>94</v>
      </c>
      <c r="U272" s="60" t="s">
        <v>101</v>
      </c>
      <c r="V272" s="60" t="s">
        <v>92</v>
      </c>
      <c r="W272" s="60" t="s">
        <v>101</v>
      </c>
      <c r="X272" s="63" t="s">
        <v>95</v>
      </c>
    </row>
    <row r="273" spans="1:24">
      <c r="A273" s="60">
        <v>142</v>
      </c>
      <c r="B273" s="61" t="s">
        <v>1356</v>
      </c>
      <c r="C273" s="62" t="s">
        <v>1357</v>
      </c>
      <c r="D273" s="62" t="s">
        <v>1300</v>
      </c>
      <c r="E273" s="60" t="s">
        <v>111</v>
      </c>
      <c r="F273" s="60" t="s">
        <v>87</v>
      </c>
      <c r="G273" s="60" t="s">
        <v>164</v>
      </c>
      <c r="H273" s="60" t="s">
        <v>707</v>
      </c>
      <c r="I273" s="60" t="s">
        <v>101</v>
      </c>
      <c r="J273" s="60" t="s">
        <v>3</v>
      </c>
      <c r="K273" s="60" t="s">
        <v>3</v>
      </c>
      <c r="L273" s="60" t="s">
        <v>87</v>
      </c>
      <c r="M273" s="60">
        <v>62</v>
      </c>
      <c r="N273" s="60" t="s">
        <v>87</v>
      </c>
      <c r="O273" s="60">
        <v>12</v>
      </c>
      <c r="P273" s="60" t="s">
        <v>782</v>
      </c>
      <c r="Q273" s="60" t="s">
        <v>22</v>
      </c>
      <c r="R273" s="60" t="s">
        <v>92</v>
      </c>
      <c r="S273" s="60" t="s">
        <v>23</v>
      </c>
      <c r="T273" s="60" t="s">
        <v>94</v>
      </c>
      <c r="U273" s="60" t="s">
        <v>108</v>
      </c>
      <c r="V273" s="60" t="s">
        <v>92</v>
      </c>
      <c r="W273" s="60" t="s">
        <v>93</v>
      </c>
      <c r="X273" s="63" t="s">
        <v>102</v>
      </c>
    </row>
    <row r="274" spans="1:24">
      <c r="A274" s="60">
        <v>528</v>
      </c>
      <c r="B274" s="61" t="s">
        <v>377</v>
      </c>
      <c r="C274" s="62" t="s">
        <v>378</v>
      </c>
      <c r="D274" s="62" t="s">
        <v>379</v>
      </c>
      <c r="E274" s="60" t="s">
        <v>127</v>
      </c>
      <c r="F274" s="60" t="s">
        <v>87</v>
      </c>
      <c r="G274" s="60" t="s">
        <v>158</v>
      </c>
      <c r="H274" s="60" t="s">
        <v>100</v>
      </c>
      <c r="I274" s="60" t="s">
        <v>101</v>
      </c>
      <c r="J274" s="60" t="s">
        <v>2</v>
      </c>
      <c r="K274" s="60" t="s">
        <v>2</v>
      </c>
      <c r="L274" s="60">
        <v>188</v>
      </c>
      <c r="M274" s="60" t="s">
        <v>87</v>
      </c>
      <c r="N274" s="60">
        <v>9</v>
      </c>
      <c r="O274" s="60" t="s">
        <v>87</v>
      </c>
      <c r="P274" s="60">
        <v>9</v>
      </c>
      <c r="Q274" s="60" t="s">
        <v>92</v>
      </c>
      <c r="R274" s="60" t="s">
        <v>20</v>
      </c>
      <c r="S274" s="60" t="s">
        <v>3</v>
      </c>
      <c r="T274" s="60" t="s">
        <v>94</v>
      </c>
      <c r="U274" s="60" t="s">
        <v>101</v>
      </c>
      <c r="V274" s="60" t="s">
        <v>92</v>
      </c>
      <c r="W274" s="60" t="s">
        <v>93</v>
      </c>
      <c r="X274" s="63" t="s">
        <v>102</v>
      </c>
    </row>
    <row r="275" spans="1:24">
      <c r="A275" s="60">
        <v>1304</v>
      </c>
      <c r="B275" s="61" t="s">
        <v>1629</v>
      </c>
      <c r="C275" s="62" t="s">
        <v>922</v>
      </c>
      <c r="D275" s="62" t="s">
        <v>1630</v>
      </c>
      <c r="E275" s="60" t="s">
        <v>318</v>
      </c>
      <c r="F275" s="60" t="s">
        <v>87</v>
      </c>
      <c r="G275" s="60" t="s">
        <v>182</v>
      </c>
      <c r="H275" s="60" t="s">
        <v>707</v>
      </c>
      <c r="I275" s="60" t="s">
        <v>101</v>
      </c>
      <c r="J275" s="60" t="s">
        <v>2</v>
      </c>
      <c r="K275" s="60" t="s">
        <v>2</v>
      </c>
      <c r="L275" s="60" t="s">
        <v>87</v>
      </c>
      <c r="M275" s="60">
        <v>27</v>
      </c>
      <c r="N275" s="60" t="s">
        <v>87</v>
      </c>
      <c r="O275" s="60">
        <v>11</v>
      </c>
      <c r="P275" s="60" t="s">
        <v>778</v>
      </c>
      <c r="Q275" s="60" t="s">
        <v>92</v>
      </c>
      <c r="R275" s="60" t="s">
        <v>21</v>
      </c>
      <c r="S275" s="60" t="s">
        <v>3</v>
      </c>
      <c r="T275" s="60" t="s">
        <v>94</v>
      </c>
      <c r="U275" s="60" t="s">
        <v>108</v>
      </c>
      <c r="V275" s="60" t="s">
        <v>94</v>
      </c>
      <c r="W275" s="60" t="s">
        <v>93</v>
      </c>
      <c r="X275" s="63" t="s">
        <v>102</v>
      </c>
    </row>
    <row r="276" spans="1:24">
      <c r="A276" s="60">
        <v>174</v>
      </c>
      <c r="B276" s="61" t="s">
        <v>921</v>
      </c>
      <c r="C276" s="62" t="s">
        <v>922</v>
      </c>
      <c r="D276" s="62" t="s">
        <v>632</v>
      </c>
      <c r="E276" s="60" t="s">
        <v>157</v>
      </c>
      <c r="F276" s="60" t="s">
        <v>87</v>
      </c>
      <c r="G276" s="60" t="s">
        <v>88</v>
      </c>
      <c r="H276" s="60" t="s">
        <v>707</v>
      </c>
      <c r="I276" s="60" t="s">
        <v>101</v>
      </c>
      <c r="J276" s="60" t="s">
        <v>2</v>
      </c>
      <c r="K276" s="60" t="s">
        <v>2</v>
      </c>
      <c r="L276" s="60" t="s">
        <v>87</v>
      </c>
      <c r="M276" s="60">
        <v>71</v>
      </c>
      <c r="N276" s="60" t="s">
        <v>87</v>
      </c>
      <c r="O276" s="60">
        <v>21</v>
      </c>
      <c r="P276" s="60" t="s">
        <v>1158</v>
      </c>
      <c r="Q276" s="60" t="s">
        <v>19</v>
      </c>
      <c r="R276" s="60" t="s">
        <v>92</v>
      </c>
      <c r="S276" s="60" t="s">
        <v>92</v>
      </c>
      <c r="T276" s="60" t="s">
        <v>94</v>
      </c>
      <c r="U276" s="60" t="s">
        <v>101</v>
      </c>
      <c r="V276" s="60" t="s">
        <v>92</v>
      </c>
      <c r="W276" s="60" t="s">
        <v>93</v>
      </c>
      <c r="X276" s="63" t="s">
        <v>102</v>
      </c>
    </row>
    <row r="277" spans="1:24">
      <c r="A277" s="60">
        <v>1086</v>
      </c>
      <c r="B277" s="61" t="s">
        <v>381</v>
      </c>
      <c r="C277" s="62" t="s">
        <v>382</v>
      </c>
      <c r="D277" s="62" t="s">
        <v>201</v>
      </c>
      <c r="E277" s="60" t="s">
        <v>249</v>
      </c>
      <c r="F277" s="60" t="s">
        <v>170</v>
      </c>
      <c r="G277" s="60" t="s">
        <v>182</v>
      </c>
      <c r="H277" s="60" t="s">
        <v>100</v>
      </c>
      <c r="I277" s="60" t="s">
        <v>90</v>
      </c>
      <c r="J277" s="60" t="s">
        <v>3</v>
      </c>
      <c r="K277" s="60" t="s">
        <v>3</v>
      </c>
      <c r="L277" s="60">
        <v>200</v>
      </c>
      <c r="M277" s="60">
        <v>100</v>
      </c>
      <c r="N277" s="60">
        <v>2</v>
      </c>
      <c r="O277" s="60">
        <v>1</v>
      </c>
      <c r="P277" s="60" t="s">
        <v>172</v>
      </c>
      <c r="Q277" s="60" t="s">
        <v>92</v>
      </c>
      <c r="R277" s="60" t="s">
        <v>92</v>
      </c>
      <c r="S277" s="60" t="s">
        <v>3</v>
      </c>
      <c r="T277" s="60" t="s">
        <v>92</v>
      </c>
      <c r="U277" s="60" t="s">
        <v>93</v>
      </c>
      <c r="V277" s="60" t="s">
        <v>94</v>
      </c>
      <c r="W277" s="60" t="s">
        <v>108</v>
      </c>
      <c r="X277" s="63" t="s">
        <v>95</v>
      </c>
    </row>
    <row r="278" spans="1:24">
      <c r="A278" s="60">
        <v>709</v>
      </c>
      <c r="B278" s="61" t="s">
        <v>1631</v>
      </c>
      <c r="C278" s="62" t="s">
        <v>1632</v>
      </c>
      <c r="D278" s="62" t="s">
        <v>201</v>
      </c>
      <c r="E278" s="60" t="s">
        <v>328</v>
      </c>
      <c r="F278" s="60" t="s">
        <v>87</v>
      </c>
      <c r="G278" s="60" t="s">
        <v>150</v>
      </c>
      <c r="H278" s="60" t="s">
        <v>100</v>
      </c>
      <c r="I278" s="60" t="s">
        <v>90</v>
      </c>
      <c r="J278" s="60" t="s">
        <v>2</v>
      </c>
      <c r="K278" s="60" t="s">
        <v>2</v>
      </c>
      <c r="L278" s="60">
        <v>190</v>
      </c>
      <c r="M278" s="60" t="s">
        <v>87</v>
      </c>
      <c r="N278" s="60">
        <v>13</v>
      </c>
      <c r="O278" s="60" t="s">
        <v>87</v>
      </c>
      <c r="P278" s="60">
        <v>13</v>
      </c>
      <c r="Q278" s="60" t="s">
        <v>19</v>
      </c>
      <c r="R278" s="60" t="s">
        <v>20</v>
      </c>
      <c r="S278" s="60" t="s">
        <v>92</v>
      </c>
      <c r="T278" s="60" t="s">
        <v>94</v>
      </c>
      <c r="U278" s="60" t="s">
        <v>90</v>
      </c>
      <c r="V278" s="60" t="s">
        <v>92</v>
      </c>
      <c r="W278" s="60" t="s">
        <v>93</v>
      </c>
      <c r="X278" s="63" t="s">
        <v>95</v>
      </c>
    </row>
    <row r="279" spans="1:24">
      <c r="A279" s="60">
        <v>629</v>
      </c>
      <c r="B279" s="61" t="s">
        <v>923</v>
      </c>
      <c r="C279" s="62" t="s">
        <v>924</v>
      </c>
      <c r="D279" s="62" t="s">
        <v>122</v>
      </c>
      <c r="E279" s="60" t="s">
        <v>154</v>
      </c>
      <c r="F279" s="60" t="s">
        <v>87</v>
      </c>
      <c r="G279" s="60" t="s">
        <v>88</v>
      </c>
      <c r="H279" s="60" t="s">
        <v>707</v>
      </c>
      <c r="I279" s="60" t="s">
        <v>101</v>
      </c>
      <c r="J279" s="60" t="s">
        <v>71</v>
      </c>
      <c r="K279" s="60" t="s">
        <v>2</v>
      </c>
      <c r="L279" s="60" t="s">
        <v>87</v>
      </c>
      <c r="M279" s="60">
        <v>39</v>
      </c>
      <c r="N279" s="60" t="s">
        <v>87</v>
      </c>
      <c r="O279" s="60">
        <v>9</v>
      </c>
      <c r="P279" s="60" t="s">
        <v>744</v>
      </c>
      <c r="Q279" s="60" t="s">
        <v>24</v>
      </c>
      <c r="R279" s="60" t="s">
        <v>92</v>
      </c>
      <c r="S279" s="60" t="s">
        <v>92</v>
      </c>
      <c r="T279" s="60" t="s">
        <v>94</v>
      </c>
      <c r="U279" s="60" t="s">
        <v>108</v>
      </c>
      <c r="V279" s="60" t="s">
        <v>92</v>
      </c>
      <c r="W279" s="60" t="s">
        <v>93</v>
      </c>
      <c r="X279" s="63" t="s">
        <v>102</v>
      </c>
    </row>
    <row r="280" spans="1:24">
      <c r="A280" s="60">
        <v>1306</v>
      </c>
      <c r="B280" s="61" t="s">
        <v>1633</v>
      </c>
      <c r="C280" s="62" t="s">
        <v>1634</v>
      </c>
      <c r="D280" s="62" t="s">
        <v>1208</v>
      </c>
      <c r="E280" s="60" t="s">
        <v>318</v>
      </c>
      <c r="F280" s="60" t="s">
        <v>170</v>
      </c>
      <c r="G280" s="60" t="s">
        <v>99</v>
      </c>
      <c r="H280" s="60" t="s">
        <v>707</v>
      </c>
      <c r="I280" s="60" t="s">
        <v>90</v>
      </c>
      <c r="J280" s="60" t="s">
        <v>2</v>
      </c>
      <c r="K280" s="60" t="s">
        <v>2</v>
      </c>
      <c r="L280" s="60" t="s">
        <v>87</v>
      </c>
      <c r="M280" s="60">
        <v>100</v>
      </c>
      <c r="N280" s="60" t="s">
        <v>87</v>
      </c>
      <c r="O280" s="60">
        <v>1</v>
      </c>
      <c r="P280" s="60" t="s">
        <v>729</v>
      </c>
      <c r="Q280" s="60" t="s">
        <v>24</v>
      </c>
      <c r="R280" s="60" t="s">
        <v>21</v>
      </c>
      <c r="S280" s="60" t="s">
        <v>92</v>
      </c>
      <c r="T280" s="60" t="s">
        <v>92</v>
      </c>
      <c r="U280" s="60" t="s">
        <v>101</v>
      </c>
      <c r="V280" s="60" t="s">
        <v>92</v>
      </c>
      <c r="W280" s="60" t="s">
        <v>93</v>
      </c>
      <c r="X280" s="63" t="s">
        <v>95</v>
      </c>
    </row>
    <row r="281" spans="1:24">
      <c r="A281" s="60">
        <v>446</v>
      </c>
      <c r="B281" s="61" t="s">
        <v>925</v>
      </c>
      <c r="C281" s="62" t="s">
        <v>926</v>
      </c>
      <c r="D281" s="62" t="s">
        <v>927</v>
      </c>
      <c r="E281" s="60" t="s">
        <v>127</v>
      </c>
      <c r="F281" s="60" t="s">
        <v>87</v>
      </c>
      <c r="G281" s="60" t="s">
        <v>1029</v>
      </c>
      <c r="H281" s="60" t="s">
        <v>707</v>
      </c>
      <c r="I281" s="60" t="s">
        <v>90</v>
      </c>
      <c r="J281" s="60" t="s">
        <v>2</v>
      </c>
      <c r="K281" s="60" t="s">
        <v>2</v>
      </c>
      <c r="L281" s="60" t="s">
        <v>87</v>
      </c>
      <c r="M281" s="60">
        <v>39</v>
      </c>
      <c r="N281" s="60" t="s">
        <v>87</v>
      </c>
      <c r="O281" s="60">
        <v>11</v>
      </c>
      <c r="P281" s="60" t="s">
        <v>778</v>
      </c>
      <c r="Q281" s="60" t="s">
        <v>22</v>
      </c>
      <c r="R281" s="60" t="s">
        <v>20</v>
      </c>
      <c r="S281" s="60" t="s">
        <v>92</v>
      </c>
      <c r="T281" s="60" t="s">
        <v>94</v>
      </c>
      <c r="U281" s="60" t="s">
        <v>101</v>
      </c>
      <c r="V281" s="60" t="s">
        <v>92</v>
      </c>
      <c r="W281" s="60" t="s">
        <v>101</v>
      </c>
      <c r="X281" s="63" t="s">
        <v>95</v>
      </c>
    </row>
    <row r="282" spans="1:24">
      <c r="A282" s="60">
        <v>232</v>
      </c>
      <c r="B282" s="61" t="s">
        <v>1358</v>
      </c>
      <c r="C282" s="62" t="s">
        <v>1359</v>
      </c>
      <c r="D282" s="62" t="s">
        <v>97</v>
      </c>
      <c r="E282" s="60" t="s">
        <v>169</v>
      </c>
      <c r="F282" s="60" t="s">
        <v>87</v>
      </c>
      <c r="G282" s="60" t="s">
        <v>112</v>
      </c>
      <c r="H282" s="60" t="s">
        <v>100</v>
      </c>
      <c r="I282" s="60" t="s">
        <v>101</v>
      </c>
      <c r="J282" s="60" t="s">
        <v>3</v>
      </c>
      <c r="K282" s="60" t="s">
        <v>3</v>
      </c>
      <c r="L282" s="60">
        <v>106</v>
      </c>
      <c r="M282" s="60" t="s">
        <v>87</v>
      </c>
      <c r="N282" s="60">
        <v>11</v>
      </c>
      <c r="O282" s="60" t="s">
        <v>87</v>
      </c>
      <c r="P282" s="60">
        <v>11</v>
      </c>
      <c r="Q282" s="60" t="s">
        <v>92</v>
      </c>
      <c r="R282" s="60" t="s">
        <v>92</v>
      </c>
      <c r="S282" s="60" t="s">
        <v>92</v>
      </c>
      <c r="T282" s="60" t="s">
        <v>94</v>
      </c>
      <c r="U282" s="60" t="s">
        <v>108</v>
      </c>
      <c r="V282" s="60" t="s">
        <v>92</v>
      </c>
      <c r="W282" s="60" t="s">
        <v>93</v>
      </c>
      <c r="X282" s="63" t="s">
        <v>102</v>
      </c>
    </row>
    <row r="283" spans="1:24">
      <c r="A283" s="60">
        <v>468</v>
      </c>
      <c r="B283" s="61" t="s">
        <v>383</v>
      </c>
      <c r="C283" s="62" t="s">
        <v>384</v>
      </c>
      <c r="D283" s="62" t="s">
        <v>173</v>
      </c>
      <c r="E283" s="60" t="s">
        <v>197</v>
      </c>
      <c r="F283" s="60" t="s">
        <v>87</v>
      </c>
      <c r="G283" s="60" t="s">
        <v>164</v>
      </c>
      <c r="H283" s="60" t="s">
        <v>100</v>
      </c>
      <c r="I283" s="60" t="s">
        <v>90</v>
      </c>
      <c r="J283" s="60" t="s">
        <v>2</v>
      </c>
      <c r="K283" s="60" t="s">
        <v>2</v>
      </c>
      <c r="L283" s="60">
        <v>146</v>
      </c>
      <c r="M283" s="60" t="s">
        <v>87</v>
      </c>
      <c r="N283" s="60">
        <v>5</v>
      </c>
      <c r="O283" s="60" t="s">
        <v>87</v>
      </c>
      <c r="P283" s="60">
        <v>5</v>
      </c>
      <c r="Q283" s="60" t="s">
        <v>22</v>
      </c>
      <c r="R283" s="60" t="s">
        <v>92</v>
      </c>
      <c r="S283" s="60" t="s">
        <v>3</v>
      </c>
      <c r="T283" s="60" t="s">
        <v>94</v>
      </c>
      <c r="U283" s="60" t="s">
        <v>108</v>
      </c>
      <c r="V283" s="60" t="s">
        <v>92</v>
      </c>
      <c r="W283" s="60" t="s">
        <v>93</v>
      </c>
      <c r="X283" s="63" t="s">
        <v>95</v>
      </c>
    </row>
    <row r="284" spans="1:24">
      <c r="A284" s="60">
        <v>913</v>
      </c>
      <c r="B284" s="61" t="s">
        <v>928</v>
      </c>
      <c r="C284" s="62" t="s">
        <v>929</v>
      </c>
      <c r="D284" s="62" t="s">
        <v>766</v>
      </c>
      <c r="E284" s="60" t="s">
        <v>86</v>
      </c>
      <c r="F284" s="60" t="s">
        <v>87</v>
      </c>
      <c r="G284" s="60" t="s">
        <v>150</v>
      </c>
      <c r="H284" s="60" t="s">
        <v>707</v>
      </c>
      <c r="I284" s="60" t="s">
        <v>90</v>
      </c>
      <c r="J284" s="60" t="s">
        <v>2</v>
      </c>
      <c r="K284" s="60" t="s">
        <v>2</v>
      </c>
      <c r="L284" s="60" t="s">
        <v>87</v>
      </c>
      <c r="M284" s="60">
        <v>26</v>
      </c>
      <c r="N284" s="60" t="s">
        <v>87</v>
      </c>
      <c r="O284" s="60">
        <v>9</v>
      </c>
      <c r="P284" s="60" t="s">
        <v>744</v>
      </c>
      <c r="Q284" s="60" t="s">
        <v>92</v>
      </c>
      <c r="R284" s="60" t="s">
        <v>92</v>
      </c>
      <c r="S284" s="60" t="s">
        <v>38</v>
      </c>
      <c r="T284" s="60" t="s">
        <v>94</v>
      </c>
      <c r="U284" s="60" t="s">
        <v>108</v>
      </c>
      <c r="V284" s="60" t="s">
        <v>94</v>
      </c>
      <c r="W284" s="60" t="s">
        <v>101</v>
      </c>
      <c r="X284" s="63" t="s">
        <v>95</v>
      </c>
    </row>
    <row r="285" spans="1:24">
      <c r="A285" s="60">
        <v>529</v>
      </c>
      <c r="B285" s="61" t="s">
        <v>1243</v>
      </c>
      <c r="C285" s="62" t="s">
        <v>1244</v>
      </c>
      <c r="D285" s="62" t="s">
        <v>331</v>
      </c>
      <c r="E285" s="60" t="s">
        <v>141</v>
      </c>
      <c r="F285" s="60" t="s">
        <v>87</v>
      </c>
      <c r="G285" s="60" t="s">
        <v>117</v>
      </c>
      <c r="H285" s="60" t="s">
        <v>100</v>
      </c>
      <c r="I285" s="60" t="s">
        <v>101</v>
      </c>
      <c r="J285" s="60" t="s">
        <v>2</v>
      </c>
      <c r="K285" s="60" t="s">
        <v>2</v>
      </c>
      <c r="L285" s="60">
        <v>180</v>
      </c>
      <c r="M285" s="60" t="s">
        <v>87</v>
      </c>
      <c r="N285" s="60">
        <v>6</v>
      </c>
      <c r="O285" s="60" t="s">
        <v>87</v>
      </c>
      <c r="P285" s="60">
        <v>6</v>
      </c>
      <c r="Q285" s="60" t="s">
        <v>22</v>
      </c>
      <c r="R285" s="60" t="s">
        <v>20</v>
      </c>
      <c r="S285" s="60" t="s">
        <v>92</v>
      </c>
      <c r="T285" s="60" t="s">
        <v>92</v>
      </c>
      <c r="U285" s="60" t="s">
        <v>90</v>
      </c>
      <c r="V285" s="60" t="s">
        <v>92</v>
      </c>
      <c r="W285" s="60" t="s">
        <v>93</v>
      </c>
      <c r="X285" s="63" t="s">
        <v>102</v>
      </c>
    </row>
    <row r="286" spans="1:24">
      <c r="A286" s="60">
        <v>444</v>
      </c>
      <c r="B286" s="61" t="s">
        <v>385</v>
      </c>
      <c r="C286" s="62" t="s">
        <v>386</v>
      </c>
      <c r="D286" s="62" t="s">
        <v>387</v>
      </c>
      <c r="E286" s="60" t="s">
        <v>186</v>
      </c>
      <c r="F286" s="60" t="s">
        <v>87</v>
      </c>
      <c r="G286" s="60" t="s">
        <v>150</v>
      </c>
      <c r="H286" s="60" t="s">
        <v>707</v>
      </c>
      <c r="I286" s="60" t="s">
        <v>101</v>
      </c>
      <c r="J286" s="60" t="s">
        <v>2</v>
      </c>
      <c r="K286" s="60" t="s">
        <v>2</v>
      </c>
      <c r="L286" s="60" t="s">
        <v>87</v>
      </c>
      <c r="M286" s="60">
        <v>65</v>
      </c>
      <c r="N286" s="60" t="s">
        <v>87</v>
      </c>
      <c r="O286" s="60">
        <v>12</v>
      </c>
      <c r="P286" s="60" t="s">
        <v>782</v>
      </c>
      <c r="Q286" s="60" t="s">
        <v>24</v>
      </c>
      <c r="R286" s="60" t="s">
        <v>20</v>
      </c>
      <c r="S286" s="60" t="s">
        <v>23</v>
      </c>
      <c r="T286" s="60" t="s">
        <v>94</v>
      </c>
      <c r="U286" s="60" t="s">
        <v>108</v>
      </c>
      <c r="V286" s="60" t="s">
        <v>92</v>
      </c>
      <c r="W286" s="60" t="s">
        <v>93</v>
      </c>
      <c r="X286" s="63" t="s">
        <v>102</v>
      </c>
    </row>
    <row r="287" spans="1:24">
      <c r="A287" s="60">
        <v>477</v>
      </c>
      <c r="B287" s="61" t="s">
        <v>1635</v>
      </c>
      <c r="C287" s="62" t="s">
        <v>389</v>
      </c>
      <c r="D287" s="62" t="s">
        <v>358</v>
      </c>
      <c r="E287" s="60" t="s">
        <v>197</v>
      </c>
      <c r="F287" s="60" t="s">
        <v>87</v>
      </c>
      <c r="G287" s="60" t="s">
        <v>88</v>
      </c>
      <c r="H287" s="60" t="s">
        <v>707</v>
      </c>
      <c r="I287" s="60" t="s">
        <v>90</v>
      </c>
      <c r="J287" s="60" t="s">
        <v>2</v>
      </c>
      <c r="K287" s="60" t="s">
        <v>2</v>
      </c>
      <c r="L287" s="60" t="s">
        <v>87</v>
      </c>
      <c r="M287" s="60">
        <v>34</v>
      </c>
      <c r="N287" s="60" t="s">
        <v>87</v>
      </c>
      <c r="O287" s="60">
        <v>4</v>
      </c>
      <c r="P287" s="60" t="s">
        <v>754</v>
      </c>
      <c r="Q287" s="60" t="s">
        <v>22</v>
      </c>
      <c r="R287" s="60" t="s">
        <v>92</v>
      </c>
      <c r="S287" s="60" t="s">
        <v>3</v>
      </c>
      <c r="T287" s="60" t="s">
        <v>94</v>
      </c>
      <c r="U287" s="60" t="s">
        <v>101</v>
      </c>
      <c r="V287" s="60" t="s">
        <v>92</v>
      </c>
      <c r="W287" s="60" t="s">
        <v>93</v>
      </c>
      <c r="X287" s="63" t="s">
        <v>95</v>
      </c>
    </row>
    <row r="288" spans="1:24">
      <c r="A288" s="60">
        <v>346</v>
      </c>
      <c r="B288" s="61" t="s">
        <v>388</v>
      </c>
      <c r="C288" s="62" t="s">
        <v>389</v>
      </c>
      <c r="D288" s="62" t="s">
        <v>273</v>
      </c>
      <c r="E288" s="60" t="s">
        <v>152</v>
      </c>
      <c r="F288" s="60" t="s">
        <v>87</v>
      </c>
      <c r="G288" s="60" t="s">
        <v>182</v>
      </c>
      <c r="H288" s="60" t="s">
        <v>100</v>
      </c>
      <c r="I288" s="60" t="s">
        <v>101</v>
      </c>
      <c r="J288" s="60" t="s">
        <v>2</v>
      </c>
      <c r="K288" s="60" t="s">
        <v>2</v>
      </c>
      <c r="L288" s="60">
        <v>202</v>
      </c>
      <c r="M288" s="60" t="s">
        <v>87</v>
      </c>
      <c r="N288" s="60">
        <v>14</v>
      </c>
      <c r="O288" s="60" t="s">
        <v>87</v>
      </c>
      <c r="P288" s="60">
        <v>14</v>
      </c>
      <c r="Q288" s="60" t="s">
        <v>19</v>
      </c>
      <c r="R288" s="60" t="s">
        <v>92</v>
      </c>
      <c r="S288" s="60" t="s">
        <v>92</v>
      </c>
      <c r="T288" s="60" t="s">
        <v>94</v>
      </c>
      <c r="U288" s="60" t="s">
        <v>108</v>
      </c>
      <c r="V288" s="60" t="s">
        <v>92</v>
      </c>
      <c r="W288" s="60" t="s">
        <v>93</v>
      </c>
      <c r="X288" s="63" t="s">
        <v>102</v>
      </c>
    </row>
    <row r="289" spans="1:24">
      <c r="A289" s="60">
        <v>172</v>
      </c>
      <c r="B289" s="61" t="s">
        <v>391</v>
      </c>
      <c r="C289" s="62" t="s">
        <v>389</v>
      </c>
      <c r="D289" s="62" t="s">
        <v>392</v>
      </c>
      <c r="E289" s="60" t="s">
        <v>157</v>
      </c>
      <c r="F289" s="60" t="s">
        <v>87</v>
      </c>
      <c r="G289" s="60" t="s">
        <v>158</v>
      </c>
      <c r="H289" s="60" t="s">
        <v>89</v>
      </c>
      <c r="I289" s="60" t="s">
        <v>101</v>
      </c>
      <c r="J289" s="60" t="s">
        <v>2</v>
      </c>
      <c r="K289" s="60" t="s">
        <v>2</v>
      </c>
      <c r="L289" s="60">
        <v>66</v>
      </c>
      <c r="M289" s="60">
        <v>19</v>
      </c>
      <c r="N289" s="60">
        <v>4</v>
      </c>
      <c r="O289" s="60" t="s">
        <v>166</v>
      </c>
      <c r="P289" s="60" t="s">
        <v>167</v>
      </c>
      <c r="Q289" s="60" t="s">
        <v>92</v>
      </c>
      <c r="R289" s="60" t="s">
        <v>92</v>
      </c>
      <c r="S289" s="60" t="s">
        <v>92</v>
      </c>
      <c r="T289" s="60" t="s">
        <v>94</v>
      </c>
      <c r="U289" s="60" t="s">
        <v>90</v>
      </c>
      <c r="V289" s="60" t="s">
        <v>92</v>
      </c>
      <c r="W289" s="60" t="s">
        <v>93</v>
      </c>
      <c r="X289" s="63" t="s">
        <v>102</v>
      </c>
    </row>
    <row r="290" spans="1:24">
      <c r="A290" s="60">
        <v>204</v>
      </c>
      <c r="B290" s="61" t="s">
        <v>931</v>
      </c>
      <c r="C290" s="62" t="s">
        <v>932</v>
      </c>
      <c r="D290" s="62" t="s">
        <v>933</v>
      </c>
      <c r="E290" s="60" t="s">
        <v>218</v>
      </c>
      <c r="F290" s="60" t="s">
        <v>87</v>
      </c>
      <c r="G290" s="60" t="s">
        <v>117</v>
      </c>
      <c r="H290" s="60" t="s">
        <v>707</v>
      </c>
      <c r="I290" s="60" t="s">
        <v>101</v>
      </c>
      <c r="J290" s="60" t="s">
        <v>2</v>
      </c>
      <c r="K290" s="60" t="s">
        <v>2</v>
      </c>
      <c r="L290" s="60" t="s">
        <v>87</v>
      </c>
      <c r="M290" s="60">
        <v>70</v>
      </c>
      <c r="N290" s="60" t="s">
        <v>87</v>
      </c>
      <c r="O290" s="60">
        <v>17</v>
      </c>
      <c r="P290" s="60" t="s">
        <v>748</v>
      </c>
      <c r="Q290" s="60" t="s">
        <v>19</v>
      </c>
      <c r="R290" s="60" t="s">
        <v>21</v>
      </c>
      <c r="S290" s="60" t="s">
        <v>37</v>
      </c>
      <c r="T290" s="60" t="s">
        <v>94</v>
      </c>
      <c r="U290" s="60" t="s">
        <v>108</v>
      </c>
      <c r="V290" s="60" t="s">
        <v>92</v>
      </c>
      <c r="W290" s="60" t="s">
        <v>93</v>
      </c>
      <c r="X290" s="63" t="s">
        <v>102</v>
      </c>
    </row>
    <row r="291" spans="1:24">
      <c r="A291" s="60">
        <v>479</v>
      </c>
      <c r="B291" s="61" t="s">
        <v>1636</v>
      </c>
      <c r="C291" s="62" t="s">
        <v>1637</v>
      </c>
      <c r="D291" s="62" t="s">
        <v>798</v>
      </c>
      <c r="E291" s="60" t="s">
        <v>197</v>
      </c>
      <c r="F291" s="60" t="s">
        <v>170</v>
      </c>
      <c r="G291" s="60" t="s">
        <v>150</v>
      </c>
      <c r="H291" s="60" t="s">
        <v>707</v>
      </c>
      <c r="I291" s="60" t="s">
        <v>101</v>
      </c>
      <c r="J291" s="60" t="s">
        <v>3</v>
      </c>
      <c r="K291" s="60" t="s">
        <v>3</v>
      </c>
      <c r="L291" s="60" t="s">
        <v>87</v>
      </c>
      <c r="M291" s="60">
        <v>100</v>
      </c>
      <c r="N291" s="60" t="s">
        <v>87</v>
      </c>
      <c r="O291" s="60">
        <v>1</v>
      </c>
      <c r="P291" s="60" t="s">
        <v>729</v>
      </c>
      <c r="Q291" s="60" t="s">
        <v>22</v>
      </c>
      <c r="R291" s="60" t="s">
        <v>20</v>
      </c>
      <c r="S291" s="60" t="s">
        <v>38</v>
      </c>
      <c r="T291" s="60" t="s">
        <v>94</v>
      </c>
      <c r="U291" s="60" t="s">
        <v>108</v>
      </c>
      <c r="V291" s="60" t="s">
        <v>94</v>
      </c>
      <c r="W291" s="60" t="s">
        <v>93</v>
      </c>
      <c r="X291" s="63" t="s">
        <v>102</v>
      </c>
    </row>
    <row r="292" spans="1:24">
      <c r="A292" s="60">
        <v>857</v>
      </c>
      <c r="B292" s="61" t="s">
        <v>1360</v>
      </c>
      <c r="C292" s="62" t="s">
        <v>1361</v>
      </c>
      <c r="D292" s="62" t="s">
        <v>122</v>
      </c>
      <c r="E292" s="60" t="s">
        <v>190</v>
      </c>
      <c r="F292" s="60" t="s">
        <v>87</v>
      </c>
      <c r="G292" s="60" t="s">
        <v>99</v>
      </c>
      <c r="H292" s="60" t="s">
        <v>100</v>
      </c>
      <c r="I292" s="60" t="s">
        <v>90</v>
      </c>
      <c r="J292" s="60" t="s">
        <v>2</v>
      </c>
      <c r="K292" s="60" t="s">
        <v>2</v>
      </c>
      <c r="L292" s="60">
        <v>178</v>
      </c>
      <c r="M292" s="60" t="s">
        <v>87</v>
      </c>
      <c r="N292" s="60">
        <v>7</v>
      </c>
      <c r="O292" s="60" t="s">
        <v>87</v>
      </c>
      <c r="P292" s="60">
        <v>7</v>
      </c>
      <c r="Q292" s="60" t="s">
        <v>22</v>
      </c>
      <c r="R292" s="60" t="s">
        <v>92</v>
      </c>
      <c r="S292" s="60" t="s">
        <v>92</v>
      </c>
      <c r="T292" s="60" t="s">
        <v>92</v>
      </c>
      <c r="U292" s="60" t="s">
        <v>101</v>
      </c>
      <c r="V292" s="60" t="s">
        <v>92</v>
      </c>
      <c r="W292" s="60" t="s">
        <v>101</v>
      </c>
      <c r="X292" s="63" t="s">
        <v>95</v>
      </c>
    </row>
    <row r="293" spans="1:24">
      <c r="A293" s="60">
        <v>926</v>
      </c>
      <c r="B293" s="61" t="s">
        <v>934</v>
      </c>
      <c r="C293" s="62" t="s">
        <v>935</v>
      </c>
      <c r="D293" s="62" t="s">
        <v>936</v>
      </c>
      <c r="E293" s="60" t="s">
        <v>86</v>
      </c>
      <c r="F293" s="60" t="s">
        <v>87</v>
      </c>
      <c r="G293" s="60" t="s">
        <v>376</v>
      </c>
      <c r="H293" s="60" t="s">
        <v>100</v>
      </c>
      <c r="I293" s="60" t="s">
        <v>90</v>
      </c>
      <c r="J293" s="60" t="s">
        <v>3</v>
      </c>
      <c r="K293" s="60" t="s">
        <v>3</v>
      </c>
      <c r="L293" s="60">
        <v>29</v>
      </c>
      <c r="M293" s="60" t="s">
        <v>87</v>
      </c>
      <c r="N293" s="60">
        <v>16</v>
      </c>
      <c r="O293" s="60" t="s">
        <v>87</v>
      </c>
      <c r="P293" s="60">
        <v>16</v>
      </c>
      <c r="Q293" s="60" t="s">
        <v>24</v>
      </c>
      <c r="R293" s="60" t="s">
        <v>20</v>
      </c>
      <c r="S293" s="60" t="s">
        <v>37</v>
      </c>
      <c r="T293" s="60" t="s">
        <v>94</v>
      </c>
      <c r="U293" s="60" t="s">
        <v>93</v>
      </c>
      <c r="V293" s="60" t="s">
        <v>92</v>
      </c>
      <c r="W293" s="60" t="s">
        <v>93</v>
      </c>
      <c r="X293" s="63" t="s">
        <v>95</v>
      </c>
    </row>
    <row r="294" spans="1:24">
      <c r="A294" s="60">
        <v>1338</v>
      </c>
      <c r="B294" s="61" t="s">
        <v>1362</v>
      </c>
      <c r="C294" s="62" t="s">
        <v>935</v>
      </c>
      <c r="D294" s="62" t="s">
        <v>425</v>
      </c>
      <c r="E294" s="60" t="s">
        <v>266</v>
      </c>
      <c r="F294" s="60" t="s">
        <v>87</v>
      </c>
      <c r="G294" s="60" t="s">
        <v>150</v>
      </c>
      <c r="H294" s="60" t="s">
        <v>707</v>
      </c>
      <c r="I294" s="60" t="s">
        <v>90</v>
      </c>
      <c r="J294" s="60" t="s">
        <v>2</v>
      </c>
      <c r="K294" s="60" t="s">
        <v>2</v>
      </c>
      <c r="L294" s="60" t="s">
        <v>87</v>
      </c>
      <c r="M294" s="60">
        <v>12</v>
      </c>
      <c r="N294" s="60" t="s">
        <v>87</v>
      </c>
      <c r="O294" s="60">
        <v>6</v>
      </c>
      <c r="P294" s="60" t="s">
        <v>740</v>
      </c>
      <c r="Q294" s="60" t="s">
        <v>92</v>
      </c>
      <c r="R294" s="60" t="s">
        <v>92</v>
      </c>
      <c r="S294" s="60" t="s">
        <v>3</v>
      </c>
      <c r="T294" s="60" t="s">
        <v>94</v>
      </c>
      <c r="U294" s="60" t="s">
        <v>93</v>
      </c>
      <c r="V294" s="60" t="s">
        <v>92</v>
      </c>
      <c r="W294" s="60" t="s">
        <v>93</v>
      </c>
      <c r="X294" s="63" t="s">
        <v>95</v>
      </c>
    </row>
    <row r="295" spans="1:24">
      <c r="A295" s="60">
        <v>749</v>
      </c>
      <c r="B295" s="61" t="s">
        <v>1638</v>
      </c>
      <c r="C295" s="62" t="s">
        <v>1639</v>
      </c>
      <c r="D295" s="62" t="s">
        <v>1640</v>
      </c>
      <c r="E295" s="60" t="s">
        <v>127</v>
      </c>
      <c r="F295" s="60" t="s">
        <v>87</v>
      </c>
      <c r="G295" s="60" t="s">
        <v>182</v>
      </c>
      <c r="H295" s="60" t="s">
        <v>707</v>
      </c>
      <c r="I295" s="60" t="s">
        <v>90</v>
      </c>
      <c r="J295" s="60" t="s">
        <v>2</v>
      </c>
      <c r="K295" s="60" t="s">
        <v>2</v>
      </c>
      <c r="L295" s="60" t="s">
        <v>87</v>
      </c>
      <c r="M295" s="60">
        <v>25</v>
      </c>
      <c r="N295" s="60" t="s">
        <v>87</v>
      </c>
      <c r="O295" s="60">
        <v>22</v>
      </c>
      <c r="P295" s="60" t="s">
        <v>737</v>
      </c>
      <c r="Q295" s="60" t="s">
        <v>22</v>
      </c>
      <c r="R295" s="60" t="s">
        <v>21</v>
      </c>
      <c r="S295" s="60" t="s">
        <v>23</v>
      </c>
      <c r="T295" s="60" t="s">
        <v>94</v>
      </c>
      <c r="U295" s="60" t="s">
        <v>108</v>
      </c>
      <c r="V295" s="60" t="s">
        <v>92</v>
      </c>
      <c r="W295" s="60" t="s">
        <v>93</v>
      </c>
      <c r="X295" s="63" t="s">
        <v>95</v>
      </c>
    </row>
    <row r="296" spans="1:24">
      <c r="A296" s="60">
        <v>208</v>
      </c>
      <c r="B296" s="61" t="s">
        <v>1641</v>
      </c>
      <c r="C296" s="62" t="s">
        <v>1642</v>
      </c>
      <c r="D296" s="62" t="s">
        <v>908</v>
      </c>
      <c r="E296" s="60" t="s">
        <v>218</v>
      </c>
      <c r="F296" s="60" t="s">
        <v>87</v>
      </c>
      <c r="G296" s="60" t="s">
        <v>142</v>
      </c>
      <c r="H296" s="60" t="s">
        <v>707</v>
      </c>
      <c r="I296" s="60" t="s">
        <v>101</v>
      </c>
      <c r="J296" s="60" t="s">
        <v>2</v>
      </c>
      <c r="K296" s="60" t="s">
        <v>2</v>
      </c>
      <c r="L296" s="60" t="s">
        <v>87</v>
      </c>
      <c r="M296" s="60">
        <v>51</v>
      </c>
      <c r="N296" s="60" t="s">
        <v>87</v>
      </c>
      <c r="O296" s="60">
        <v>11</v>
      </c>
      <c r="P296" s="60" t="s">
        <v>778</v>
      </c>
      <c r="Q296" s="60" t="s">
        <v>19</v>
      </c>
      <c r="R296" s="60" t="s">
        <v>92</v>
      </c>
      <c r="S296" s="60" t="s">
        <v>3</v>
      </c>
      <c r="T296" s="60" t="s">
        <v>94</v>
      </c>
      <c r="U296" s="60" t="s">
        <v>108</v>
      </c>
      <c r="V296" s="60" t="s">
        <v>92</v>
      </c>
      <c r="W296" s="60" t="s">
        <v>93</v>
      </c>
      <c r="X296" s="63" t="s">
        <v>102</v>
      </c>
    </row>
    <row r="297" spans="1:24">
      <c r="A297" s="60">
        <v>412</v>
      </c>
      <c r="B297" s="61" t="s">
        <v>393</v>
      </c>
      <c r="C297" s="62" t="s">
        <v>394</v>
      </c>
      <c r="D297" s="62" t="s">
        <v>395</v>
      </c>
      <c r="E297" s="60" t="s">
        <v>249</v>
      </c>
      <c r="F297" s="60" t="s">
        <v>87</v>
      </c>
      <c r="G297" s="60" t="s">
        <v>164</v>
      </c>
      <c r="H297" s="60" t="s">
        <v>100</v>
      </c>
      <c r="I297" s="60" t="s">
        <v>90</v>
      </c>
      <c r="J297" s="60" t="s">
        <v>71</v>
      </c>
      <c r="K297" s="60" t="s">
        <v>3</v>
      </c>
      <c r="L297" s="60">
        <v>59</v>
      </c>
      <c r="M297" s="60" t="s">
        <v>87</v>
      </c>
      <c r="N297" s="60">
        <v>4</v>
      </c>
      <c r="O297" s="60" t="s">
        <v>87</v>
      </c>
      <c r="P297" s="60">
        <v>4</v>
      </c>
      <c r="Q297" s="60" t="s">
        <v>92</v>
      </c>
      <c r="R297" s="60" t="s">
        <v>92</v>
      </c>
      <c r="S297" s="60" t="s">
        <v>38</v>
      </c>
      <c r="T297" s="60" t="s">
        <v>94</v>
      </c>
      <c r="U297" s="60" t="s">
        <v>90</v>
      </c>
      <c r="V297" s="60" t="s">
        <v>92</v>
      </c>
      <c r="W297" s="60" t="s">
        <v>108</v>
      </c>
      <c r="X297" s="63" t="s">
        <v>95</v>
      </c>
    </row>
    <row r="298" spans="1:24">
      <c r="A298" s="60">
        <v>209</v>
      </c>
      <c r="B298" s="61" t="s">
        <v>937</v>
      </c>
      <c r="C298" s="62" t="s">
        <v>394</v>
      </c>
      <c r="D298" s="62" t="s">
        <v>585</v>
      </c>
      <c r="E298" s="60" t="s">
        <v>218</v>
      </c>
      <c r="F298" s="60" t="s">
        <v>87</v>
      </c>
      <c r="G298" s="60" t="s">
        <v>182</v>
      </c>
      <c r="H298" s="60" t="s">
        <v>707</v>
      </c>
      <c r="I298" s="60" t="s">
        <v>101</v>
      </c>
      <c r="J298" s="60" t="s">
        <v>2</v>
      </c>
      <c r="K298" s="60" t="s">
        <v>2</v>
      </c>
      <c r="L298" s="60" t="s">
        <v>87</v>
      </c>
      <c r="M298" s="60">
        <v>45</v>
      </c>
      <c r="N298" s="60" t="s">
        <v>87</v>
      </c>
      <c r="O298" s="60">
        <v>12</v>
      </c>
      <c r="P298" s="60" t="s">
        <v>782</v>
      </c>
      <c r="Q298" s="60" t="s">
        <v>19</v>
      </c>
      <c r="R298" s="60" t="s">
        <v>21</v>
      </c>
      <c r="S298" s="60" t="s">
        <v>23</v>
      </c>
      <c r="T298" s="60" t="s">
        <v>94</v>
      </c>
      <c r="U298" s="60" t="s">
        <v>108</v>
      </c>
      <c r="V298" s="60" t="s">
        <v>94</v>
      </c>
      <c r="W298" s="60" t="s">
        <v>108</v>
      </c>
      <c r="X298" s="63" t="s">
        <v>102</v>
      </c>
    </row>
    <row r="299" spans="1:24">
      <c r="A299" s="60">
        <v>1166</v>
      </c>
      <c r="B299" s="61" t="s">
        <v>396</v>
      </c>
      <c r="C299" s="62" t="s">
        <v>397</v>
      </c>
      <c r="D299" s="62" t="s">
        <v>358</v>
      </c>
      <c r="E299" s="60" t="s">
        <v>128</v>
      </c>
      <c r="F299" s="60" t="s">
        <v>170</v>
      </c>
      <c r="G299" s="60" t="s">
        <v>107</v>
      </c>
      <c r="H299" s="60" t="s">
        <v>100</v>
      </c>
      <c r="I299" s="60" t="s">
        <v>101</v>
      </c>
      <c r="J299" s="60" t="s">
        <v>2</v>
      </c>
      <c r="K299" s="60" t="s">
        <v>3</v>
      </c>
      <c r="L299" s="60">
        <v>200</v>
      </c>
      <c r="M299" s="60">
        <v>100</v>
      </c>
      <c r="N299" s="60">
        <v>1</v>
      </c>
      <c r="O299" s="60">
        <v>1</v>
      </c>
      <c r="P299" s="60" t="s">
        <v>255</v>
      </c>
      <c r="Q299" s="60" t="s">
        <v>92</v>
      </c>
      <c r="R299" s="60" t="s">
        <v>21</v>
      </c>
      <c r="S299" s="60" t="s">
        <v>38</v>
      </c>
      <c r="T299" s="60" t="s">
        <v>94</v>
      </c>
      <c r="U299" s="60" t="s">
        <v>108</v>
      </c>
      <c r="V299" s="60" t="s">
        <v>92</v>
      </c>
      <c r="W299" s="60" t="s">
        <v>93</v>
      </c>
      <c r="X299" s="63" t="s">
        <v>102</v>
      </c>
    </row>
    <row r="300" spans="1:24">
      <c r="A300" s="60">
        <v>561</v>
      </c>
      <c r="B300" s="61" t="s">
        <v>938</v>
      </c>
      <c r="C300" s="62" t="s">
        <v>939</v>
      </c>
      <c r="D300" s="62" t="s">
        <v>940</v>
      </c>
      <c r="E300" s="60" t="s">
        <v>128</v>
      </c>
      <c r="F300" s="60" t="s">
        <v>87</v>
      </c>
      <c r="G300" s="60" t="s">
        <v>99</v>
      </c>
      <c r="H300" s="60" t="s">
        <v>707</v>
      </c>
      <c r="I300" s="60" t="s">
        <v>90</v>
      </c>
      <c r="J300" s="60" t="s">
        <v>2</v>
      </c>
      <c r="K300" s="60" t="s">
        <v>2</v>
      </c>
      <c r="L300" s="60" t="s">
        <v>87</v>
      </c>
      <c r="M300" s="60">
        <v>65</v>
      </c>
      <c r="N300" s="60" t="s">
        <v>87</v>
      </c>
      <c r="O300" s="60">
        <v>15</v>
      </c>
      <c r="P300" s="60" t="s">
        <v>836</v>
      </c>
      <c r="Q300" s="60" t="s">
        <v>22</v>
      </c>
      <c r="R300" s="60" t="s">
        <v>21</v>
      </c>
      <c r="S300" s="60" t="s">
        <v>92</v>
      </c>
      <c r="T300" s="60" t="s">
        <v>94</v>
      </c>
      <c r="U300" s="60" t="s">
        <v>108</v>
      </c>
      <c r="V300" s="60" t="s">
        <v>92</v>
      </c>
      <c r="W300" s="60" t="s">
        <v>90</v>
      </c>
      <c r="X300" s="63" t="s">
        <v>95</v>
      </c>
    </row>
    <row r="301" spans="1:24">
      <c r="A301" s="60">
        <v>942</v>
      </c>
      <c r="B301" s="61" t="s">
        <v>1212</v>
      </c>
      <c r="C301" s="62" t="s">
        <v>1213</v>
      </c>
      <c r="D301" s="62" t="s">
        <v>488</v>
      </c>
      <c r="E301" s="60" t="s">
        <v>146</v>
      </c>
      <c r="F301" s="60" t="s">
        <v>170</v>
      </c>
      <c r="G301" s="60" t="s">
        <v>117</v>
      </c>
      <c r="H301" s="60" t="s">
        <v>100</v>
      </c>
      <c r="I301" s="60" t="s">
        <v>90</v>
      </c>
      <c r="J301" s="60" t="s">
        <v>2</v>
      </c>
      <c r="K301" s="60" t="s">
        <v>3</v>
      </c>
      <c r="L301" s="60">
        <v>200</v>
      </c>
      <c r="M301" s="60">
        <v>100</v>
      </c>
      <c r="N301" s="60">
        <v>1</v>
      </c>
      <c r="O301" s="60">
        <v>1</v>
      </c>
      <c r="P301" s="60" t="s">
        <v>255</v>
      </c>
      <c r="Q301" s="60" t="s">
        <v>92</v>
      </c>
      <c r="R301" s="60" t="s">
        <v>21</v>
      </c>
      <c r="S301" s="60" t="s">
        <v>37</v>
      </c>
      <c r="T301" s="60" t="s">
        <v>94</v>
      </c>
      <c r="U301" s="60" t="s">
        <v>93</v>
      </c>
      <c r="V301" s="60" t="s">
        <v>92</v>
      </c>
      <c r="W301" s="60" t="s">
        <v>93</v>
      </c>
      <c r="X301" s="63" t="s">
        <v>95</v>
      </c>
    </row>
    <row r="302" spans="1:24">
      <c r="A302" s="60">
        <v>1240</v>
      </c>
      <c r="B302" s="61" t="s">
        <v>1643</v>
      </c>
      <c r="C302" s="62" t="s">
        <v>1644</v>
      </c>
      <c r="D302" s="62" t="s">
        <v>1645</v>
      </c>
      <c r="E302" s="60" t="s">
        <v>42</v>
      </c>
      <c r="F302" s="60" t="s">
        <v>170</v>
      </c>
      <c r="G302" s="60" t="s">
        <v>147</v>
      </c>
      <c r="H302" s="60" t="s">
        <v>707</v>
      </c>
      <c r="I302" s="60" t="s">
        <v>101</v>
      </c>
      <c r="J302" s="60" t="s">
        <v>2</v>
      </c>
      <c r="K302" s="60" t="s">
        <v>2</v>
      </c>
      <c r="L302" s="60" t="s">
        <v>87</v>
      </c>
      <c r="M302" s="60">
        <v>100</v>
      </c>
      <c r="N302" s="60" t="s">
        <v>87</v>
      </c>
      <c r="O302" s="60">
        <v>2</v>
      </c>
      <c r="P302" s="60" t="s">
        <v>807</v>
      </c>
      <c r="Q302" s="60" t="s">
        <v>92</v>
      </c>
      <c r="R302" s="60" t="s">
        <v>21</v>
      </c>
      <c r="S302" s="60" t="s">
        <v>92</v>
      </c>
      <c r="T302" s="60" t="s">
        <v>92</v>
      </c>
      <c r="U302" s="60" t="s">
        <v>101</v>
      </c>
      <c r="V302" s="60" t="s">
        <v>92</v>
      </c>
      <c r="W302" s="60" t="s">
        <v>93</v>
      </c>
      <c r="X302" s="63" t="s">
        <v>102</v>
      </c>
    </row>
    <row r="303" spans="1:24">
      <c r="A303" s="60">
        <v>624</v>
      </c>
      <c r="B303" s="61" t="s">
        <v>941</v>
      </c>
      <c r="C303" s="62" t="s">
        <v>942</v>
      </c>
      <c r="D303" s="62" t="s">
        <v>943</v>
      </c>
      <c r="E303" s="60" t="s">
        <v>154</v>
      </c>
      <c r="F303" s="60" t="s">
        <v>87</v>
      </c>
      <c r="G303" s="60" t="s">
        <v>171</v>
      </c>
      <c r="H303" s="60" t="s">
        <v>707</v>
      </c>
      <c r="I303" s="60" t="s">
        <v>101</v>
      </c>
      <c r="J303" s="60" t="s">
        <v>3</v>
      </c>
      <c r="K303" s="60" t="s">
        <v>3</v>
      </c>
      <c r="L303" s="60" t="s">
        <v>87</v>
      </c>
      <c r="M303" s="60">
        <v>44</v>
      </c>
      <c r="N303" s="60" t="s">
        <v>87</v>
      </c>
      <c r="O303" s="60">
        <v>23</v>
      </c>
      <c r="P303" s="60" t="s">
        <v>847</v>
      </c>
      <c r="Q303" s="60" t="s">
        <v>22</v>
      </c>
      <c r="R303" s="60" t="s">
        <v>92</v>
      </c>
      <c r="S303" s="60" t="s">
        <v>37</v>
      </c>
      <c r="T303" s="60" t="s">
        <v>92</v>
      </c>
      <c r="U303" s="60" t="s">
        <v>108</v>
      </c>
      <c r="V303" s="60" t="s">
        <v>92</v>
      </c>
      <c r="W303" s="60" t="s">
        <v>93</v>
      </c>
      <c r="X303" s="63" t="s">
        <v>102</v>
      </c>
    </row>
    <row r="304" spans="1:24">
      <c r="A304" s="60">
        <v>474</v>
      </c>
      <c r="B304" s="61" t="s">
        <v>1363</v>
      </c>
      <c r="C304" s="62" t="s">
        <v>400</v>
      </c>
      <c r="D304" s="62" t="s">
        <v>749</v>
      </c>
      <c r="E304" s="60" t="s">
        <v>197</v>
      </c>
      <c r="F304" s="60" t="s">
        <v>87</v>
      </c>
      <c r="G304" s="60" t="s">
        <v>164</v>
      </c>
      <c r="H304" s="60" t="s">
        <v>89</v>
      </c>
      <c r="I304" s="60" t="s">
        <v>90</v>
      </c>
      <c r="J304" s="60" t="s">
        <v>2</v>
      </c>
      <c r="K304" s="60" t="s">
        <v>2</v>
      </c>
      <c r="L304" s="60">
        <v>5</v>
      </c>
      <c r="M304" s="60">
        <v>65</v>
      </c>
      <c r="N304" s="60">
        <v>4</v>
      </c>
      <c r="O304" s="60" t="s">
        <v>344</v>
      </c>
      <c r="P304" s="60" t="s">
        <v>1646</v>
      </c>
      <c r="Q304" s="60" t="s">
        <v>19</v>
      </c>
      <c r="R304" s="60" t="s">
        <v>92</v>
      </c>
      <c r="S304" s="60" t="s">
        <v>92</v>
      </c>
      <c r="T304" s="60" t="s">
        <v>94</v>
      </c>
      <c r="U304" s="60" t="s">
        <v>108</v>
      </c>
      <c r="V304" s="60" t="s">
        <v>94</v>
      </c>
      <c r="W304" s="60" t="s">
        <v>93</v>
      </c>
      <c r="X304" s="63" t="s">
        <v>95</v>
      </c>
    </row>
    <row r="305" spans="1:24">
      <c r="A305" s="60">
        <v>860</v>
      </c>
      <c r="B305" s="61" t="s">
        <v>399</v>
      </c>
      <c r="C305" s="62" t="s">
        <v>400</v>
      </c>
      <c r="D305" s="62" t="s">
        <v>401</v>
      </c>
      <c r="E305" s="60" t="s">
        <v>190</v>
      </c>
      <c r="F305" s="60" t="s">
        <v>87</v>
      </c>
      <c r="G305" s="60" t="s">
        <v>799</v>
      </c>
      <c r="H305" s="60" t="s">
        <v>100</v>
      </c>
      <c r="I305" s="60" t="s">
        <v>101</v>
      </c>
      <c r="J305" s="60" t="s">
        <v>2</v>
      </c>
      <c r="K305" s="60" t="s">
        <v>2</v>
      </c>
      <c r="L305" s="60">
        <v>122</v>
      </c>
      <c r="M305" s="60">
        <v>3</v>
      </c>
      <c r="N305" s="60">
        <v>5</v>
      </c>
      <c r="O305" s="60" t="s">
        <v>166</v>
      </c>
      <c r="P305" s="60" t="s">
        <v>288</v>
      </c>
      <c r="Q305" s="60" t="s">
        <v>92</v>
      </c>
      <c r="R305" s="60" t="s">
        <v>92</v>
      </c>
      <c r="S305" s="60" t="s">
        <v>92</v>
      </c>
      <c r="T305" s="60" t="s">
        <v>94</v>
      </c>
      <c r="U305" s="60" t="s">
        <v>101</v>
      </c>
      <c r="V305" s="60" t="s">
        <v>92</v>
      </c>
      <c r="W305" s="60" t="s">
        <v>101</v>
      </c>
      <c r="X305" s="63" t="s">
        <v>102</v>
      </c>
    </row>
    <row r="306" spans="1:24">
      <c r="A306" s="60">
        <v>1207</v>
      </c>
      <c r="B306" s="61" t="s">
        <v>403</v>
      </c>
      <c r="C306" s="62" t="s">
        <v>404</v>
      </c>
      <c r="D306" s="62" t="s">
        <v>358</v>
      </c>
      <c r="E306" s="60" t="s">
        <v>154</v>
      </c>
      <c r="F306" s="60" t="s">
        <v>170</v>
      </c>
      <c r="G306" s="60" t="s">
        <v>88</v>
      </c>
      <c r="H306" s="60" t="s">
        <v>100</v>
      </c>
      <c r="I306" s="60" t="s">
        <v>101</v>
      </c>
      <c r="J306" s="60" t="s">
        <v>71</v>
      </c>
      <c r="K306" s="60" t="s">
        <v>3</v>
      </c>
      <c r="L306" s="60">
        <v>200</v>
      </c>
      <c r="M306" s="60">
        <v>100</v>
      </c>
      <c r="N306" s="60">
        <v>1</v>
      </c>
      <c r="O306" s="60">
        <v>1</v>
      </c>
      <c r="P306" s="60" t="s">
        <v>255</v>
      </c>
      <c r="Q306" s="60" t="s">
        <v>92</v>
      </c>
      <c r="R306" s="60" t="s">
        <v>20</v>
      </c>
      <c r="S306" s="60" t="s">
        <v>38</v>
      </c>
      <c r="T306" s="60" t="s">
        <v>94</v>
      </c>
      <c r="U306" s="60" t="s">
        <v>90</v>
      </c>
      <c r="V306" s="60" t="s">
        <v>92</v>
      </c>
      <c r="W306" s="60" t="s">
        <v>90</v>
      </c>
      <c r="X306" s="63" t="s">
        <v>102</v>
      </c>
    </row>
    <row r="307" spans="1:24">
      <c r="A307" s="60">
        <v>774</v>
      </c>
      <c r="B307" s="61" t="s">
        <v>944</v>
      </c>
      <c r="C307" s="62" t="s">
        <v>406</v>
      </c>
      <c r="D307" s="62" t="s">
        <v>796</v>
      </c>
      <c r="E307" s="60" t="s">
        <v>194</v>
      </c>
      <c r="F307" s="60" t="s">
        <v>87</v>
      </c>
      <c r="G307" s="60" t="s">
        <v>182</v>
      </c>
      <c r="H307" s="60" t="s">
        <v>707</v>
      </c>
      <c r="I307" s="60" t="s">
        <v>90</v>
      </c>
      <c r="J307" s="60" t="s">
        <v>2</v>
      </c>
      <c r="K307" s="60" t="s">
        <v>2</v>
      </c>
      <c r="L307" s="60" t="s">
        <v>87</v>
      </c>
      <c r="M307" s="60">
        <v>67</v>
      </c>
      <c r="N307" s="60" t="s">
        <v>87</v>
      </c>
      <c r="O307" s="60">
        <v>16</v>
      </c>
      <c r="P307" s="60" t="s">
        <v>726</v>
      </c>
      <c r="Q307" s="60" t="s">
        <v>92</v>
      </c>
      <c r="R307" s="60" t="s">
        <v>92</v>
      </c>
      <c r="S307" s="60" t="s">
        <v>37</v>
      </c>
      <c r="T307" s="60" t="s">
        <v>94</v>
      </c>
      <c r="U307" s="60" t="s">
        <v>108</v>
      </c>
      <c r="V307" s="60" t="s">
        <v>92</v>
      </c>
      <c r="W307" s="60" t="s">
        <v>90</v>
      </c>
      <c r="X307" s="63" t="s">
        <v>95</v>
      </c>
    </row>
    <row r="308" spans="1:24">
      <c r="A308" s="60">
        <v>258</v>
      </c>
      <c r="B308" s="61" t="s">
        <v>405</v>
      </c>
      <c r="C308" s="62" t="s">
        <v>406</v>
      </c>
      <c r="D308" s="62" t="s">
        <v>407</v>
      </c>
      <c r="E308" s="60" t="s">
        <v>98</v>
      </c>
      <c r="F308" s="60" t="s">
        <v>87</v>
      </c>
      <c r="G308" s="60" t="s">
        <v>182</v>
      </c>
      <c r="H308" s="60" t="s">
        <v>100</v>
      </c>
      <c r="I308" s="60" t="s">
        <v>101</v>
      </c>
      <c r="J308" s="60" t="s">
        <v>2</v>
      </c>
      <c r="K308" s="60" t="s">
        <v>2</v>
      </c>
      <c r="L308" s="60">
        <v>153</v>
      </c>
      <c r="M308" s="60">
        <v>3</v>
      </c>
      <c r="N308" s="60">
        <v>5</v>
      </c>
      <c r="O308" s="60" t="s">
        <v>166</v>
      </c>
      <c r="P308" s="60" t="s">
        <v>288</v>
      </c>
      <c r="Q308" s="60" t="s">
        <v>92</v>
      </c>
      <c r="R308" s="60" t="s">
        <v>20</v>
      </c>
      <c r="S308" s="60" t="s">
        <v>3</v>
      </c>
      <c r="T308" s="60" t="s">
        <v>94</v>
      </c>
      <c r="U308" s="60" t="s">
        <v>90</v>
      </c>
      <c r="V308" s="60" t="s">
        <v>92</v>
      </c>
      <c r="W308" s="60" t="s">
        <v>93</v>
      </c>
      <c r="X308" s="63" t="s">
        <v>102</v>
      </c>
    </row>
    <row r="309" spans="1:24">
      <c r="A309" s="60">
        <v>536</v>
      </c>
      <c r="B309" s="61" t="s">
        <v>945</v>
      </c>
      <c r="C309" s="62" t="s">
        <v>946</v>
      </c>
      <c r="D309" s="62" t="s">
        <v>369</v>
      </c>
      <c r="E309" s="60" t="s">
        <v>127</v>
      </c>
      <c r="F309" s="60" t="s">
        <v>87</v>
      </c>
      <c r="G309" s="60" t="s">
        <v>164</v>
      </c>
      <c r="H309" s="60" t="s">
        <v>707</v>
      </c>
      <c r="I309" s="60" t="s">
        <v>101</v>
      </c>
      <c r="J309" s="60" t="s">
        <v>2</v>
      </c>
      <c r="K309" s="60" t="s">
        <v>2</v>
      </c>
      <c r="L309" s="60" t="s">
        <v>87</v>
      </c>
      <c r="M309" s="60">
        <v>61</v>
      </c>
      <c r="N309" s="60" t="s">
        <v>87</v>
      </c>
      <c r="O309" s="60">
        <v>4</v>
      </c>
      <c r="P309" s="60" t="s">
        <v>754</v>
      </c>
      <c r="Q309" s="60" t="s">
        <v>22</v>
      </c>
      <c r="R309" s="60" t="s">
        <v>20</v>
      </c>
      <c r="S309" s="60" t="s">
        <v>92</v>
      </c>
      <c r="T309" s="60" t="s">
        <v>94</v>
      </c>
      <c r="U309" s="60" t="s">
        <v>101</v>
      </c>
      <c r="V309" s="60" t="s">
        <v>92</v>
      </c>
      <c r="W309" s="60" t="s">
        <v>93</v>
      </c>
      <c r="X309" s="63" t="s">
        <v>102</v>
      </c>
    </row>
    <row r="310" spans="1:24">
      <c r="A310" s="60">
        <v>440</v>
      </c>
      <c r="B310" s="61" t="s">
        <v>1204</v>
      </c>
      <c r="C310" s="62" t="s">
        <v>1205</v>
      </c>
      <c r="D310" s="62" t="s">
        <v>571</v>
      </c>
      <c r="E310" s="60" t="s">
        <v>186</v>
      </c>
      <c r="F310" s="60" t="s">
        <v>87</v>
      </c>
      <c r="G310" s="60" t="s">
        <v>112</v>
      </c>
      <c r="H310" s="60" t="s">
        <v>100</v>
      </c>
      <c r="I310" s="60" t="s">
        <v>101</v>
      </c>
      <c r="J310" s="60" t="s">
        <v>3</v>
      </c>
      <c r="K310" s="60" t="s">
        <v>2</v>
      </c>
      <c r="L310" s="60">
        <v>148</v>
      </c>
      <c r="M310" s="60">
        <v>3</v>
      </c>
      <c r="N310" s="60">
        <v>6</v>
      </c>
      <c r="O310" s="60" t="s">
        <v>91</v>
      </c>
      <c r="P310" s="60" t="s">
        <v>159</v>
      </c>
      <c r="Q310" s="60" t="s">
        <v>22</v>
      </c>
      <c r="R310" s="60" t="s">
        <v>92</v>
      </c>
      <c r="S310" s="60" t="s">
        <v>3</v>
      </c>
      <c r="T310" s="60" t="s">
        <v>94</v>
      </c>
      <c r="U310" s="60" t="s">
        <v>108</v>
      </c>
      <c r="V310" s="60" t="s">
        <v>92</v>
      </c>
      <c r="W310" s="60" t="s">
        <v>90</v>
      </c>
      <c r="X310" s="63" t="s">
        <v>102</v>
      </c>
    </row>
    <row r="311" spans="1:24">
      <c r="A311" s="60">
        <v>1117</v>
      </c>
      <c r="B311" s="61" t="s">
        <v>1647</v>
      </c>
      <c r="C311" s="62" t="s">
        <v>1648</v>
      </c>
      <c r="D311" s="62" t="s">
        <v>1649</v>
      </c>
      <c r="E311" s="60" t="s">
        <v>186</v>
      </c>
      <c r="F311" s="60" t="s">
        <v>170</v>
      </c>
      <c r="G311" s="60" t="s">
        <v>88</v>
      </c>
      <c r="H311" s="60" t="s">
        <v>707</v>
      </c>
      <c r="I311" s="60" t="s">
        <v>90</v>
      </c>
      <c r="J311" s="60" t="s">
        <v>3</v>
      </c>
      <c r="K311" s="60" t="s">
        <v>3</v>
      </c>
      <c r="L311" s="60" t="s">
        <v>87</v>
      </c>
      <c r="M311" s="60">
        <v>100</v>
      </c>
      <c r="N311" s="60" t="s">
        <v>87</v>
      </c>
      <c r="O311" s="60">
        <v>2</v>
      </c>
      <c r="P311" s="60" t="s">
        <v>807</v>
      </c>
      <c r="Q311" s="60" t="s">
        <v>19</v>
      </c>
      <c r="R311" s="60" t="s">
        <v>20</v>
      </c>
      <c r="S311" s="60" t="s">
        <v>92</v>
      </c>
      <c r="T311" s="60" t="s">
        <v>92</v>
      </c>
      <c r="U311" s="60" t="s">
        <v>101</v>
      </c>
      <c r="V311" s="60" t="s">
        <v>92</v>
      </c>
      <c r="W311" s="60" t="s">
        <v>93</v>
      </c>
      <c r="X311" s="63" t="s">
        <v>95</v>
      </c>
    </row>
    <row r="312" spans="1:24">
      <c r="A312" s="60">
        <v>1001</v>
      </c>
      <c r="B312" s="61" t="s">
        <v>1650</v>
      </c>
      <c r="C312" s="62" t="s">
        <v>1651</v>
      </c>
      <c r="D312" s="62" t="s">
        <v>1652</v>
      </c>
      <c r="E312" s="60" t="s">
        <v>169</v>
      </c>
      <c r="F312" s="60" t="s">
        <v>87</v>
      </c>
      <c r="G312" s="60" t="s">
        <v>150</v>
      </c>
      <c r="H312" s="60" t="s">
        <v>707</v>
      </c>
      <c r="I312" s="60" t="s">
        <v>90</v>
      </c>
      <c r="J312" s="60" t="s">
        <v>3</v>
      </c>
      <c r="K312" s="60" t="s">
        <v>3</v>
      </c>
      <c r="L312" s="60" t="s">
        <v>87</v>
      </c>
      <c r="M312" s="60">
        <v>4</v>
      </c>
      <c r="N312" s="60" t="s">
        <v>87</v>
      </c>
      <c r="O312" s="60">
        <v>3</v>
      </c>
      <c r="P312" s="60" t="s">
        <v>727</v>
      </c>
      <c r="Q312" s="60" t="s">
        <v>92</v>
      </c>
      <c r="R312" s="60" t="s">
        <v>21</v>
      </c>
      <c r="S312" s="60" t="s">
        <v>92</v>
      </c>
      <c r="T312" s="60" t="s">
        <v>92</v>
      </c>
      <c r="U312" s="60" t="s">
        <v>108</v>
      </c>
      <c r="V312" s="60" t="s">
        <v>92</v>
      </c>
      <c r="W312" s="60" t="s">
        <v>93</v>
      </c>
      <c r="X312" s="63" t="s">
        <v>95</v>
      </c>
    </row>
    <row r="313" spans="1:24">
      <c r="A313" s="60">
        <v>557</v>
      </c>
      <c r="B313" s="61" t="s">
        <v>1653</v>
      </c>
      <c r="C313" s="62" t="s">
        <v>1654</v>
      </c>
      <c r="D313" s="62" t="s">
        <v>1655</v>
      </c>
      <c r="E313" s="60" t="s">
        <v>128</v>
      </c>
      <c r="F313" s="60" t="s">
        <v>87</v>
      </c>
      <c r="G313" s="60" t="s">
        <v>117</v>
      </c>
      <c r="H313" s="60" t="s">
        <v>100</v>
      </c>
      <c r="I313" s="60" t="s">
        <v>90</v>
      </c>
      <c r="J313" s="60" t="s">
        <v>2</v>
      </c>
      <c r="K313" s="60" t="s">
        <v>2</v>
      </c>
      <c r="L313" s="60">
        <v>93</v>
      </c>
      <c r="M313" s="60">
        <v>3</v>
      </c>
      <c r="N313" s="60">
        <v>4</v>
      </c>
      <c r="O313" s="60" t="s">
        <v>118</v>
      </c>
      <c r="P313" s="60" t="s">
        <v>174</v>
      </c>
      <c r="Q313" s="60" t="s">
        <v>19</v>
      </c>
      <c r="R313" s="60" t="s">
        <v>92</v>
      </c>
      <c r="S313" s="60" t="s">
        <v>92</v>
      </c>
      <c r="T313" s="60" t="s">
        <v>92</v>
      </c>
      <c r="U313" s="60" t="s">
        <v>90</v>
      </c>
      <c r="V313" s="60" t="s">
        <v>92</v>
      </c>
      <c r="W313" s="60" t="s">
        <v>90</v>
      </c>
      <c r="X313" s="63" t="s">
        <v>95</v>
      </c>
    </row>
    <row r="314" spans="1:24">
      <c r="A314" s="60">
        <v>348</v>
      </c>
      <c r="B314" s="61" t="s">
        <v>58</v>
      </c>
      <c r="C314" s="62" t="s">
        <v>409</v>
      </c>
      <c r="D314" s="62" t="s">
        <v>410</v>
      </c>
      <c r="E314" s="60" t="s">
        <v>152</v>
      </c>
      <c r="F314" s="60" t="s">
        <v>87</v>
      </c>
      <c r="G314" s="60" t="s">
        <v>158</v>
      </c>
      <c r="H314" s="60" t="s">
        <v>100</v>
      </c>
      <c r="I314" s="60" t="s">
        <v>101</v>
      </c>
      <c r="J314" s="60" t="s">
        <v>2</v>
      </c>
      <c r="K314" s="60" t="s">
        <v>2</v>
      </c>
      <c r="L314" s="60">
        <v>130</v>
      </c>
      <c r="M314" s="60" t="s">
        <v>87</v>
      </c>
      <c r="N314" s="60">
        <v>10</v>
      </c>
      <c r="O314" s="60" t="s">
        <v>87</v>
      </c>
      <c r="P314" s="60">
        <v>10</v>
      </c>
      <c r="Q314" s="60" t="s">
        <v>22</v>
      </c>
      <c r="R314" s="60" t="s">
        <v>20</v>
      </c>
      <c r="S314" s="60" t="s">
        <v>3</v>
      </c>
      <c r="T314" s="60" t="s">
        <v>94</v>
      </c>
      <c r="U314" s="60" t="s">
        <v>90</v>
      </c>
      <c r="V314" s="60" t="s">
        <v>92</v>
      </c>
      <c r="W314" s="60" t="s">
        <v>108</v>
      </c>
      <c r="X314" s="63" t="s">
        <v>102</v>
      </c>
    </row>
    <row r="315" spans="1:24">
      <c r="A315" s="60">
        <v>503</v>
      </c>
      <c r="B315" s="61" t="s">
        <v>411</v>
      </c>
      <c r="C315" s="62" t="s">
        <v>412</v>
      </c>
      <c r="D315" s="62" t="s">
        <v>413</v>
      </c>
      <c r="E315" s="60" t="s">
        <v>127</v>
      </c>
      <c r="F315" s="60" t="s">
        <v>87</v>
      </c>
      <c r="G315" s="60" t="s">
        <v>142</v>
      </c>
      <c r="H315" s="60" t="s">
        <v>707</v>
      </c>
      <c r="I315" s="60" t="s">
        <v>90</v>
      </c>
      <c r="J315" s="60" t="s">
        <v>2</v>
      </c>
      <c r="K315" s="60" t="s">
        <v>2</v>
      </c>
      <c r="L315" s="60" t="s">
        <v>87</v>
      </c>
      <c r="M315" s="60">
        <v>56</v>
      </c>
      <c r="N315" s="60" t="s">
        <v>87</v>
      </c>
      <c r="O315" s="60">
        <v>13</v>
      </c>
      <c r="P315" s="60" t="s">
        <v>718</v>
      </c>
      <c r="Q315" s="60" t="s">
        <v>92</v>
      </c>
      <c r="R315" s="60" t="s">
        <v>92</v>
      </c>
      <c r="S315" s="60" t="s">
        <v>37</v>
      </c>
      <c r="T315" s="60" t="s">
        <v>92</v>
      </c>
      <c r="U315" s="60" t="s">
        <v>108</v>
      </c>
      <c r="V315" s="60" t="s">
        <v>92</v>
      </c>
      <c r="W315" s="60" t="s">
        <v>93</v>
      </c>
      <c r="X315" s="63" t="s">
        <v>95</v>
      </c>
    </row>
    <row r="316" spans="1:24">
      <c r="A316" s="60">
        <v>1320</v>
      </c>
      <c r="B316" s="61" t="s">
        <v>1656</v>
      </c>
      <c r="C316" s="62" t="s">
        <v>412</v>
      </c>
      <c r="D316" s="62" t="s">
        <v>1657</v>
      </c>
      <c r="E316" s="60" t="s">
        <v>209</v>
      </c>
      <c r="F316" s="60" t="s">
        <v>170</v>
      </c>
      <c r="G316" s="60" t="s">
        <v>99</v>
      </c>
      <c r="H316" s="60" t="s">
        <v>707</v>
      </c>
      <c r="I316" s="60" t="s">
        <v>90</v>
      </c>
      <c r="J316" s="60" t="s">
        <v>2</v>
      </c>
      <c r="K316" s="60" t="s">
        <v>2</v>
      </c>
      <c r="L316" s="60" t="s">
        <v>87</v>
      </c>
      <c r="M316" s="60">
        <v>100</v>
      </c>
      <c r="N316" s="60" t="s">
        <v>87</v>
      </c>
      <c r="O316" s="60">
        <v>2</v>
      </c>
      <c r="P316" s="60" t="s">
        <v>807</v>
      </c>
      <c r="Q316" s="60" t="s">
        <v>22</v>
      </c>
      <c r="R316" s="60" t="s">
        <v>20</v>
      </c>
      <c r="S316" s="60" t="s">
        <v>92</v>
      </c>
      <c r="T316" s="60" t="s">
        <v>92</v>
      </c>
      <c r="U316" s="60" t="s">
        <v>101</v>
      </c>
      <c r="V316" s="60" t="s">
        <v>92</v>
      </c>
      <c r="W316" s="60" t="s">
        <v>93</v>
      </c>
      <c r="X316" s="63" t="s">
        <v>95</v>
      </c>
    </row>
    <row r="317" spans="1:24">
      <c r="A317" s="60">
        <v>1102</v>
      </c>
      <c r="B317" s="61" t="s">
        <v>1658</v>
      </c>
      <c r="C317" s="62" t="s">
        <v>412</v>
      </c>
      <c r="D317" s="62" t="s">
        <v>908</v>
      </c>
      <c r="E317" s="60" t="s">
        <v>249</v>
      </c>
      <c r="F317" s="60" t="s">
        <v>87</v>
      </c>
      <c r="G317" s="60" t="s">
        <v>107</v>
      </c>
      <c r="H317" s="60" t="s">
        <v>707</v>
      </c>
      <c r="I317" s="60" t="s">
        <v>90</v>
      </c>
      <c r="J317" s="60" t="s">
        <v>2</v>
      </c>
      <c r="K317" s="60" t="s">
        <v>2</v>
      </c>
      <c r="L317" s="60" t="s">
        <v>87</v>
      </c>
      <c r="M317" s="60">
        <v>7</v>
      </c>
      <c r="N317" s="60" t="s">
        <v>87</v>
      </c>
      <c r="O317" s="60">
        <v>4</v>
      </c>
      <c r="P317" s="60" t="s">
        <v>754</v>
      </c>
      <c r="Q317" s="60" t="s">
        <v>22</v>
      </c>
      <c r="R317" s="60" t="s">
        <v>92</v>
      </c>
      <c r="S317" s="60" t="s">
        <v>3</v>
      </c>
      <c r="T317" s="60" t="s">
        <v>94</v>
      </c>
      <c r="U317" s="60" t="s">
        <v>108</v>
      </c>
      <c r="V317" s="60" t="s">
        <v>94</v>
      </c>
      <c r="W317" s="60" t="s">
        <v>93</v>
      </c>
      <c r="X317" s="63" t="s">
        <v>95</v>
      </c>
    </row>
    <row r="318" spans="1:24">
      <c r="A318" s="60">
        <v>1135</v>
      </c>
      <c r="B318" s="61" t="s">
        <v>1364</v>
      </c>
      <c r="C318" s="62" t="s">
        <v>1365</v>
      </c>
      <c r="D318" s="62" t="s">
        <v>516</v>
      </c>
      <c r="E318" s="60" t="s">
        <v>149</v>
      </c>
      <c r="F318" s="60" t="s">
        <v>170</v>
      </c>
      <c r="G318" s="60" t="s">
        <v>99</v>
      </c>
      <c r="H318" s="60" t="s">
        <v>707</v>
      </c>
      <c r="I318" s="60" t="s">
        <v>90</v>
      </c>
      <c r="J318" s="60" t="s">
        <v>2</v>
      </c>
      <c r="K318" s="60" t="s">
        <v>2</v>
      </c>
      <c r="L318" s="60" t="s">
        <v>87</v>
      </c>
      <c r="M318" s="60">
        <v>100</v>
      </c>
      <c r="N318" s="60" t="s">
        <v>87</v>
      </c>
      <c r="O318" s="60">
        <v>1</v>
      </c>
      <c r="P318" s="60" t="s">
        <v>729</v>
      </c>
      <c r="Q318" s="60" t="s">
        <v>92</v>
      </c>
      <c r="R318" s="60" t="s">
        <v>21</v>
      </c>
      <c r="S318" s="60" t="s">
        <v>92</v>
      </c>
      <c r="T318" s="60" t="s">
        <v>92</v>
      </c>
      <c r="U318" s="60" t="s">
        <v>101</v>
      </c>
      <c r="V318" s="60" t="s">
        <v>92</v>
      </c>
      <c r="W318" s="60" t="s">
        <v>93</v>
      </c>
      <c r="X318" s="63" t="s">
        <v>95</v>
      </c>
    </row>
    <row r="319" spans="1:24">
      <c r="A319" s="60">
        <v>626</v>
      </c>
      <c r="B319" s="61" t="s">
        <v>947</v>
      </c>
      <c r="C319" s="62" t="s">
        <v>948</v>
      </c>
      <c r="D319" s="62" t="s">
        <v>949</v>
      </c>
      <c r="E319" s="60" t="s">
        <v>154</v>
      </c>
      <c r="F319" s="60" t="s">
        <v>87</v>
      </c>
      <c r="G319" s="60" t="s">
        <v>99</v>
      </c>
      <c r="H319" s="60" t="s">
        <v>707</v>
      </c>
      <c r="I319" s="60" t="s">
        <v>90</v>
      </c>
      <c r="J319" s="60" t="s">
        <v>71</v>
      </c>
      <c r="K319" s="60" t="s">
        <v>2</v>
      </c>
      <c r="L319" s="60" t="s">
        <v>87</v>
      </c>
      <c r="M319" s="60">
        <v>53</v>
      </c>
      <c r="N319" s="60" t="s">
        <v>87</v>
      </c>
      <c r="O319" s="60">
        <v>15</v>
      </c>
      <c r="P319" s="60" t="s">
        <v>836</v>
      </c>
      <c r="Q319" s="60" t="s">
        <v>24</v>
      </c>
      <c r="R319" s="60" t="s">
        <v>20</v>
      </c>
      <c r="S319" s="60" t="s">
        <v>92</v>
      </c>
      <c r="T319" s="60" t="s">
        <v>94</v>
      </c>
      <c r="U319" s="60" t="s">
        <v>93</v>
      </c>
      <c r="V319" s="60" t="s">
        <v>92</v>
      </c>
      <c r="W319" s="60" t="s">
        <v>93</v>
      </c>
      <c r="X319" s="63" t="s">
        <v>95</v>
      </c>
    </row>
    <row r="320" spans="1:24">
      <c r="A320" s="60">
        <v>897</v>
      </c>
      <c r="B320" s="61" t="s">
        <v>950</v>
      </c>
      <c r="C320" s="62" t="s">
        <v>951</v>
      </c>
      <c r="D320" s="62" t="s">
        <v>886</v>
      </c>
      <c r="E320" s="60" t="s">
        <v>266</v>
      </c>
      <c r="F320" s="60" t="s">
        <v>87</v>
      </c>
      <c r="G320" s="60" t="s">
        <v>155</v>
      </c>
      <c r="H320" s="60" t="s">
        <v>707</v>
      </c>
      <c r="I320" s="60" t="s">
        <v>101</v>
      </c>
      <c r="J320" s="60" t="s">
        <v>2</v>
      </c>
      <c r="K320" s="60" t="s">
        <v>2</v>
      </c>
      <c r="L320" s="60" t="s">
        <v>87</v>
      </c>
      <c r="M320" s="60">
        <v>40</v>
      </c>
      <c r="N320" s="60" t="s">
        <v>87</v>
      </c>
      <c r="O320" s="60">
        <v>3</v>
      </c>
      <c r="P320" s="60" t="s">
        <v>727</v>
      </c>
      <c r="Q320" s="60" t="s">
        <v>92</v>
      </c>
      <c r="R320" s="60" t="s">
        <v>20</v>
      </c>
      <c r="S320" s="60" t="s">
        <v>92</v>
      </c>
      <c r="T320" s="60" t="s">
        <v>94</v>
      </c>
      <c r="U320" s="60" t="s">
        <v>101</v>
      </c>
      <c r="V320" s="60" t="s">
        <v>92</v>
      </c>
      <c r="W320" s="60" t="s">
        <v>101</v>
      </c>
      <c r="X320" s="63" t="s">
        <v>102</v>
      </c>
    </row>
    <row r="321" spans="1:24">
      <c r="A321" s="60">
        <v>684</v>
      </c>
      <c r="B321" s="61" t="s">
        <v>952</v>
      </c>
      <c r="C321" s="62" t="s">
        <v>953</v>
      </c>
      <c r="D321" s="62" t="s">
        <v>173</v>
      </c>
      <c r="E321" s="60" t="s">
        <v>42</v>
      </c>
      <c r="F321" s="60" t="s">
        <v>87</v>
      </c>
      <c r="G321" s="60" t="s">
        <v>99</v>
      </c>
      <c r="H321" s="60" t="s">
        <v>707</v>
      </c>
      <c r="I321" s="60" t="s">
        <v>90</v>
      </c>
      <c r="J321" s="60" t="s">
        <v>2</v>
      </c>
      <c r="K321" s="60" t="s">
        <v>2</v>
      </c>
      <c r="L321" s="60" t="s">
        <v>87</v>
      </c>
      <c r="M321" s="60">
        <v>68</v>
      </c>
      <c r="N321" s="60" t="s">
        <v>87</v>
      </c>
      <c r="O321" s="60">
        <v>14</v>
      </c>
      <c r="P321" s="60" t="s">
        <v>794</v>
      </c>
      <c r="Q321" s="60" t="s">
        <v>19</v>
      </c>
      <c r="R321" s="60" t="s">
        <v>92</v>
      </c>
      <c r="S321" s="60" t="s">
        <v>92</v>
      </c>
      <c r="T321" s="60" t="s">
        <v>92</v>
      </c>
      <c r="U321" s="60" t="s">
        <v>108</v>
      </c>
      <c r="V321" s="60" t="s">
        <v>92</v>
      </c>
      <c r="W321" s="60" t="s">
        <v>93</v>
      </c>
      <c r="X321" s="63" t="s">
        <v>95</v>
      </c>
    </row>
    <row r="322" spans="1:24">
      <c r="A322" s="60">
        <v>1105</v>
      </c>
      <c r="B322" s="61" t="s">
        <v>414</v>
      </c>
      <c r="C322" s="62" t="s">
        <v>415</v>
      </c>
      <c r="D322" s="62" t="s">
        <v>162</v>
      </c>
      <c r="E322" s="60" t="s">
        <v>186</v>
      </c>
      <c r="F322" s="60" t="s">
        <v>87</v>
      </c>
      <c r="G322" s="60" t="s">
        <v>99</v>
      </c>
      <c r="H322" s="60" t="s">
        <v>707</v>
      </c>
      <c r="I322" s="60" t="s">
        <v>101</v>
      </c>
      <c r="J322" s="60" t="s">
        <v>2</v>
      </c>
      <c r="K322" s="60" t="s">
        <v>2</v>
      </c>
      <c r="L322" s="60" t="s">
        <v>87</v>
      </c>
      <c r="M322" s="60">
        <v>4</v>
      </c>
      <c r="N322" s="60" t="s">
        <v>87</v>
      </c>
      <c r="O322" s="60">
        <v>3</v>
      </c>
      <c r="P322" s="60" t="s">
        <v>727</v>
      </c>
      <c r="Q322" s="60" t="s">
        <v>92</v>
      </c>
      <c r="R322" s="60" t="s">
        <v>21</v>
      </c>
      <c r="S322" s="60" t="s">
        <v>38</v>
      </c>
      <c r="T322" s="60" t="s">
        <v>92</v>
      </c>
      <c r="U322" s="60" t="s">
        <v>101</v>
      </c>
      <c r="V322" s="60" t="s">
        <v>92</v>
      </c>
      <c r="W322" s="60" t="s">
        <v>90</v>
      </c>
      <c r="X322" s="63" t="s">
        <v>102</v>
      </c>
    </row>
    <row r="323" spans="1:24">
      <c r="A323" s="60">
        <v>85</v>
      </c>
      <c r="B323" s="61" t="s">
        <v>954</v>
      </c>
      <c r="C323" s="62" t="s">
        <v>955</v>
      </c>
      <c r="D323" s="62" t="s">
        <v>379</v>
      </c>
      <c r="E323" s="60" t="s">
        <v>133</v>
      </c>
      <c r="F323" s="60" t="s">
        <v>87</v>
      </c>
      <c r="G323" s="60" t="s">
        <v>164</v>
      </c>
      <c r="H323" s="60" t="s">
        <v>707</v>
      </c>
      <c r="I323" s="60" t="s">
        <v>90</v>
      </c>
      <c r="J323" s="60" t="s">
        <v>3</v>
      </c>
      <c r="K323" s="60" t="s">
        <v>3</v>
      </c>
      <c r="L323" s="60" t="s">
        <v>87</v>
      </c>
      <c r="M323" s="60">
        <v>57</v>
      </c>
      <c r="N323" s="60" t="s">
        <v>87</v>
      </c>
      <c r="O323" s="60">
        <v>8</v>
      </c>
      <c r="P323" s="60" t="s">
        <v>714</v>
      </c>
      <c r="Q323" s="60" t="s">
        <v>22</v>
      </c>
      <c r="R323" s="60" t="s">
        <v>92</v>
      </c>
      <c r="S323" s="60" t="s">
        <v>37</v>
      </c>
      <c r="T323" s="60" t="s">
        <v>94</v>
      </c>
      <c r="U323" s="60" t="s">
        <v>108</v>
      </c>
      <c r="V323" s="60" t="s">
        <v>94</v>
      </c>
      <c r="W323" s="60" t="s">
        <v>93</v>
      </c>
      <c r="X323" s="63" t="s">
        <v>95</v>
      </c>
    </row>
    <row r="324" spans="1:24">
      <c r="A324" s="60">
        <v>262</v>
      </c>
      <c r="B324" s="61" t="s">
        <v>956</v>
      </c>
      <c r="C324" s="62" t="s">
        <v>957</v>
      </c>
      <c r="D324" s="62" t="s">
        <v>238</v>
      </c>
      <c r="E324" s="60" t="s">
        <v>127</v>
      </c>
      <c r="F324" s="60" t="s">
        <v>87</v>
      </c>
      <c r="G324" s="60" t="s">
        <v>88</v>
      </c>
      <c r="H324" s="60" t="s">
        <v>707</v>
      </c>
      <c r="I324" s="60" t="s">
        <v>90</v>
      </c>
      <c r="J324" s="60" t="s">
        <v>2</v>
      </c>
      <c r="K324" s="60" t="s">
        <v>2</v>
      </c>
      <c r="L324" s="60" t="s">
        <v>87</v>
      </c>
      <c r="M324" s="60">
        <v>70</v>
      </c>
      <c r="N324" s="60" t="s">
        <v>87</v>
      </c>
      <c r="O324" s="60">
        <v>19</v>
      </c>
      <c r="P324" s="60" t="s">
        <v>770</v>
      </c>
      <c r="Q324" s="60" t="s">
        <v>22</v>
      </c>
      <c r="R324" s="60" t="s">
        <v>21</v>
      </c>
      <c r="S324" s="60" t="s">
        <v>37</v>
      </c>
      <c r="T324" s="60" t="s">
        <v>94</v>
      </c>
      <c r="U324" s="60" t="s">
        <v>108</v>
      </c>
      <c r="V324" s="60" t="s">
        <v>94</v>
      </c>
      <c r="W324" s="60" t="s">
        <v>90</v>
      </c>
      <c r="X324" s="63" t="s">
        <v>95</v>
      </c>
    </row>
    <row r="325" spans="1:24">
      <c r="A325" s="60">
        <v>690</v>
      </c>
      <c r="B325" s="61" t="s">
        <v>958</v>
      </c>
      <c r="C325" s="62" t="s">
        <v>417</v>
      </c>
      <c r="D325" s="62" t="s">
        <v>802</v>
      </c>
      <c r="E325" s="60" t="s">
        <v>127</v>
      </c>
      <c r="F325" s="60" t="s">
        <v>87</v>
      </c>
      <c r="G325" s="60" t="s">
        <v>88</v>
      </c>
      <c r="H325" s="60" t="s">
        <v>707</v>
      </c>
      <c r="I325" s="60" t="s">
        <v>101</v>
      </c>
      <c r="J325" s="60" t="s">
        <v>3</v>
      </c>
      <c r="K325" s="60" t="s">
        <v>3</v>
      </c>
      <c r="L325" s="60" t="s">
        <v>87</v>
      </c>
      <c r="M325" s="60">
        <v>23</v>
      </c>
      <c r="N325" s="60" t="s">
        <v>87</v>
      </c>
      <c r="O325" s="60">
        <v>10</v>
      </c>
      <c r="P325" s="60" t="s">
        <v>712</v>
      </c>
      <c r="Q325" s="60" t="s">
        <v>24</v>
      </c>
      <c r="R325" s="60" t="s">
        <v>92</v>
      </c>
      <c r="S325" s="60" t="s">
        <v>92</v>
      </c>
      <c r="T325" s="60" t="s">
        <v>94</v>
      </c>
      <c r="U325" s="60" t="s">
        <v>93</v>
      </c>
      <c r="V325" s="60" t="s">
        <v>94</v>
      </c>
      <c r="W325" s="60" t="s">
        <v>93</v>
      </c>
      <c r="X325" s="63" t="s">
        <v>102</v>
      </c>
    </row>
    <row r="326" spans="1:24">
      <c r="A326" s="60">
        <v>16</v>
      </c>
      <c r="B326" s="61" t="s">
        <v>416</v>
      </c>
      <c r="C326" s="62" t="s">
        <v>417</v>
      </c>
      <c r="D326" s="62" t="s">
        <v>418</v>
      </c>
      <c r="E326" s="60" t="s">
        <v>178</v>
      </c>
      <c r="F326" s="60" t="s">
        <v>87</v>
      </c>
      <c r="G326" s="60" t="s">
        <v>142</v>
      </c>
      <c r="H326" s="60" t="s">
        <v>100</v>
      </c>
      <c r="I326" s="60" t="s">
        <v>101</v>
      </c>
      <c r="J326" s="60" t="s">
        <v>2</v>
      </c>
      <c r="K326" s="60" t="s">
        <v>2</v>
      </c>
      <c r="L326" s="60">
        <v>184</v>
      </c>
      <c r="M326" s="60" t="s">
        <v>87</v>
      </c>
      <c r="N326" s="60">
        <v>8</v>
      </c>
      <c r="O326" s="60" t="s">
        <v>87</v>
      </c>
      <c r="P326" s="60">
        <v>8</v>
      </c>
      <c r="Q326" s="60" t="s">
        <v>22</v>
      </c>
      <c r="R326" s="60" t="s">
        <v>92</v>
      </c>
      <c r="S326" s="60" t="s">
        <v>92</v>
      </c>
      <c r="T326" s="60" t="s">
        <v>94</v>
      </c>
      <c r="U326" s="60" t="s">
        <v>101</v>
      </c>
      <c r="V326" s="60" t="s">
        <v>92</v>
      </c>
      <c r="W326" s="60" t="s">
        <v>93</v>
      </c>
      <c r="X326" s="63" t="s">
        <v>102</v>
      </c>
    </row>
    <row r="327" spans="1:24">
      <c r="A327" s="60">
        <v>925</v>
      </c>
      <c r="B327" s="61" t="s">
        <v>1659</v>
      </c>
      <c r="C327" s="62" t="s">
        <v>420</v>
      </c>
      <c r="D327" s="62" t="s">
        <v>308</v>
      </c>
      <c r="E327" s="60" t="s">
        <v>86</v>
      </c>
      <c r="F327" s="60" t="s">
        <v>170</v>
      </c>
      <c r="G327" s="60" t="s">
        <v>112</v>
      </c>
      <c r="H327" s="60" t="s">
        <v>100</v>
      </c>
      <c r="I327" s="60" t="s">
        <v>101</v>
      </c>
      <c r="J327" s="60" t="s">
        <v>3</v>
      </c>
      <c r="K327" s="60" t="s">
        <v>3</v>
      </c>
      <c r="L327" s="60">
        <v>200</v>
      </c>
      <c r="M327" s="60">
        <v>100</v>
      </c>
      <c r="N327" s="60">
        <v>1</v>
      </c>
      <c r="O327" s="60">
        <v>1</v>
      </c>
      <c r="P327" s="60" t="s">
        <v>255</v>
      </c>
      <c r="Q327" s="60" t="s">
        <v>92</v>
      </c>
      <c r="R327" s="60" t="s">
        <v>21</v>
      </c>
      <c r="S327" s="60" t="s">
        <v>92</v>
      </c>
      <c r="T327" s="60" t="s">
        <v>92</v>
      </c>
      <c r="U327" s="60" t="s">
        <v>101</v>
      </c>
      <c r="V327" s="60" t="s">
        <v>92</v>
      </c>
      <c r="W327" s="60" t="s">
        <v>93</v>
      </c>
      <c r="X327" s="63" t="s">
        <v>102</v>
      </c>
    </row>
    <row r="328" spans="1:24">
      <c r="A328" s="60">
        <v>928</v>
      </c>
      <c r="B328" s="61" t="s">
        <v>419</v>
      </c>
      <c r="C328" s="62" t="s">
        <v>420</v>
      </c>
      <c r="D328" s="62" t="s">
        <v>156</v>
      </c>
      <c r="E328" s="60" t="s">
        <v>133</v>
      </c>
      <c r="F328" s="60" t="s">
        <v>87</v>
      </c>
      <c r="G328" s="60" t="s">
        <v>117</v>
      </c>
      <c r="H328" s="60" t="s">
        <v>100</v>
      </c>
      <c r="I328" s="60" t="s">
        <v>101</v>
      </c>
      <c r="J328" s="60" t="s">
        <v>2</v>
      </c>
      <c r="K328" s="60" t="s">
        <v>2</v>
      </c>
      <c r="L328" s="60">
        <v>35</v>
      </c>
      <c r="M328" s="60" t="s">
        <v>87</v>
      </c>
      <c r="N328" s="60">
        <v>12</v>
      </c>
      <c r="O328" s="60" t="s">
        <v>87</v>
      </c>
      <c r="P328" s="60">
        <v>12</v>
      </c>
      <c r="Q328" s="60" t="s">
        <v>22</v>
      </c>
      <c r="R328" s="60" t="s">
        <v>21</v>
      </c>
      <c r="S328" s="60" t="s">
        <v>38</v>
      </c>
      <c r="T328" s="60" t="s">
        <v>94</v>
      </c>
      <c r="U328" s="60" t="s">
        <v>108</v>
      </c>
      <c r="V328" s="60" t="s">
        <v>92</v>
      </c>
      <c r="W328" s="60" t="s">
        <v>90</v>
      </c>
      <c r="X328" s="63" t="s">
        <v>102</v>
      </c>
    </row>
    <row r="329" spans="1:24">
      <c r="A329" s="60">
        <v>623</v>
      </c>
      <c r="B329" s="61" t="s">
        <v>959</v>
      </c>
      <c r="C329" s="62" t="s">
        <v>420</v>
      </c>
      <c r="D329" s="62" t="s">
        <v>930</v>
      </c>
      <c r="E329" s="60" t="s">
        <v>127</v>
      </c>
      <c r="F329" s="60" t="s">
        <v>87</v>
      </c>
      <c r="G329" s="60" t="s">
        <v>171</v>
      </c>
      <c r="H329" s="60" t="s">
        <v>707</v>
      </c>
      <c r="I329" s="60" t="s">
        <v>90</v>
      </c>
      <c r="J329" s="60" t="s">
        <v>2</v>
      </c>
      <c r="K329" s="60" t="s">
        <v>2</v>
      </c>
      <c r="L329" s="60" t="s">
        <v>87</v>
      </c>
      <c r="M329" s="60">
        <v>67</v>
      </c>
      <c r="N329" s="60" t="s">
        <v>87</v>
      </c>
      <c r="O329" s="60">
        <v>5</v>
      </c>
      <c r="P329" s="60" t="s">
        <v>708</v>
      </c>
      <c r="Q329" s="60" t="s">
        <v>92</v>
      </c>
      <c r="R329" s="60" t="s">
        <v>92</v>
      </c>
      <c r="S329" s="60" t="s">
        <v>37</v>
      </c>
      <c r="T329" s="60" t="s">
        <v>94</v>
      </c>
      <c r="U329" s="60" t="s">
        <v>108</v>
      </c>
      <c r="V329" s="60" t="s">
        <v>92</v>
      </c>
      <c r="W329" s="60" t="s">
        <v>93</v>
      </c>
      <c r="X329" s="63" t="s">
        <v>95</v>
      </c>
    </row>
    <row r="330" spans="1:24">
      <c r="A330" s="60">
        <v>912</v>
      </c>
      <c r="B330" s="61" t="s">
        <v>1660</v>
      </c>
      <c r="C330" s="62" t="s">
        <v>420</v>
      </c>
      <c r="D330" s="62" t="s">
        <v>422</v>
      </c>
      <c r="E330" s="60" t="s">
        <v>178</v>
      </c>
      <c r="F330" s="60" t="s">
        <v>170</v>
      </c>
      <c r="G330" s="60" t="s">
        <v>99</v>
      </c>
      <c r="H330" s="60" t="s">
        <v>707</v>
      </c>
      <c r="I330" s="60" t="s">
        <v>90</v>
      </c>
      <c r="J330" s="60" t="s">
        <v>2</v>
      </c>
      <c r="K330" s="60" t="s">
        <v>2</v>
      </c>
      <c r="L330" s="60" t="s">
        <v>87</v>
      </c>
      <c r="M330" s="60">
        <v>100</v>
      </c>
      <c r="N330" s="60" t="s">
        <v>87</v>
      </c>
      <c r="O330" s="60">
        <v>1</v>
      </c>
      <c r="P330" s="60" t="s">
        <v>729</v>
      </c>
      <c r="Q330" s="60" t="s">
        <v>92</v>
      </c>
      <c r="R330" s="60" t="s">
        <v>21</v>
      </c>
      <c r="S330" s="60" t="s">
        <v>38</v>
      </c>
      <c r="T330" s="60" t="s">
        <v>94</v>
      </c>
      <c r="U330" s="60" t="s">
        <v>108</v>
      </c>
      <c r="V330" s="60" t="s">
        <v>94</v>
      </c>
      <c r="W330" s="60" t="s">
        <v>90</v>
      </c>
      <c r="X330" s="63" t="s">
        <v>95</v>
      </c>
    </row>
    <row r="331" spans="1:24">
      <c r="A331" s="60">
        <v>89</v>
      </c>
      <c r="B331" s="61" t="s">
        <v>960</v>
      </c>
      <c r="C331" s="62" t="s">
        <v>961</v>
      </c>
      <c r="D331" s="62" t="s">
        <v>284</v>
      </c>
      <c r="E331" s="60" t="s">
        <v>133</v>
      </c>
      <c r="F331" s="60" t="s">
        <v>87</v>
      </c>
      <c r="G331" s="60" t="s">
        <v>182</v>
      </c>
      <c r="H331" s="60" t="s">
        <v>707</v>
      </c>
      <c r="I331" s="60" t="s">
        <v>101</v>
      </c>
      <c r="J331" s="60" t="s">
        <v>2</v>
      </c>
      <c r="K331" s="60" t="s">
        <v>2</v>
      </c>
      <c r="L331" s="60" t="s">
        <v>87</v>
      </c>
      <c r="M331" s="60">
        <v>19</v>
      </c>
      <c r="N331" s="60" t="s">
        <v>87</v>
      </c>
      <c r="O331" s="60">
        <v>10</v>
      </c>
      <c r="P331" s="60" t="s">
        <v>712</v>
      </c>
      <c r="Q331" s="60" t="s">
        <v>24</v>
      </c>
      <c r="R331" s="60" t="s">
        <v>92</v>
      </c>
      <c r="S331" s="60" t="s">
        <v>38</v>
      </c>
      <c r="T331" s="60" t="s">
        <v>94</v>
      </c>
      <c r="U331" s="60" t="s">
        <v>93</v>
      </c>
      <c r="V331" s="60" t="s">
        <v>94</v>
      </c>
      <c r="W331" s="60" t="s">
        <v>90</v>
      </c>
      <c r="X331" s="63" t="s">
        <v>102</v>
      </c>
    </row>
    <row r="332" spans="1:24">
      <c r="A332" s="60">
        <v>1337</v>
      </c>
      <c r="B332" s="61" t="s">
        <v>423</v>
      </c>
      <c r="C332" s="62" t="s">
        <v>424</v>
      </c>
      <c r="D332" s="62" t="s">
        <v>425</v>
      </c>
      <c r="E332" s="60" t="s">
        <v>266</v>
      </c>
      <c r="F332" s="60" t="s">
        <v>170</v>
      </c>
      <c r="G332" s="60" t="s">
        <v>150</v>
      </c>
      <c r="H332" s="60" t="s">
        <v>100</v>
      </c>
      <c r="I332" s="60" t="s">
        <v>101</v>
      </c>
      <c r="J332" s="60" t="s">
        <v>2</v>
      </c>
      <c r="K332" s="60" t="s">
        <v>2</v>
      </c>
      <c r="L332" s="60">
        <v>200</v>
      </c>
      <c r="M332" s="60">
        <v>100</v>
      </c>
      <c r="N332" s="60">
        <v>2</v>
      </c>
      <c r="O332" s="60">
        <v>1</v>
      </c>
      <c r="P332" s="60" t="s">
        <v>172</v>
      </c>
      <c r="Q332" s="60" t="s">
        <v>92</v>
      </c>
      <c r="R332" s="60" t="s">
        <v>92</v>
      </c>
      <c r="S332" s="60" t="s">
        <v>23</v>
      </c>
      <c r="T332" s="60" t="s">
        <v>94</v>
      </c>
      <c r="U332" s="60" t="s">
        <v>108</v>
      </c>
      <c r="V332" s="60" t="s">
        <v>94</v>
      </c>
      <c r="W332" s="60" t="s">
        <v>90</v>
      </c>
      <c r="X332" s="63" t="s">
        <v>102</v>
      </c>
    </row>
    <row r="333" spans="1:24">
      <c r="A333" s="60">
        <v>679</v>
      </c>
      <c r="B333" s="61" t="s">
        <v>1661</v>
      </c>
      <c r="C333" s="62" t="s">
        <v>1662</v>
      </c>
      <c r="D333" s="62" t="s">
        <v>425</v>
      </c>
      <c r="E333" s="60" t="s">
        <v>42</v>
      </c>
      <c r="F333" s="60" t="s">
        <v>87</v>
      </c>
      <c r="G333" s="60" t="s">
        <v>117</v>
      </c>
      <c r="H333" s="60" t="s">
        <v>100</v>
      </c>
      <c r="I333" s="60" t="s">
        <v>101</v>
      </c>
      <c r="J333" s="60" t="s">
        <v>2</v>
      </c>
      <c r="K333" s="60" t="s">
        <v>2</v>
      </c>
      <c r="L333" s="60">
        <v>120</v>
      </c>
      <c r="M333" s="60" t="s">
        <v>87</v>
      </c>
      <c r="N333" s="60">
        <v>8</v>
      </c>
      <c r="O333" s="60" t="s">
        <v>87</v>
      </c>
      <c r="P333" s="60">
        <v>8</v>
      </c>
      <c r="Q333" s="60" t="s">
        <v>22</v>
      </c>
      <c r="R333" s="60" t="s">
        <v>92</v>
      </c>
      <c r="S333" s="60" t="s">
        <v>92</v>
      </c>
      <c r="T333" s="60" t="s">
        <v>94</v>
      </c>
      <c r="U333" s="60" t="s">
        <v>108</v>
      </c>
      <c r="V333" s="60" t="s">
        <v>92</v>
      </c>
      <c r="W333" s="60" t="s">
        <v>93</v>
      </c>
      <c r="X333" s="63" t="s">
        <v>102</v>
      </c>
    </row>
    <row r="334" spans="1:24">
      <c r="A334" s="60">
        <v>597</v>
      </c>
      <c r="B334" s="61" t="s">
        <v>1259</v>
      </c>
      <c r="C334" s="62" t="s">
        <v>1260</v>
      </c>
      <c r="D334" s="62" t="s">
        <v>369</v>
      </c>
      <c r="E334" s="60" t="s">
        <v>163</v>
      </c>
      <c r="F334" s="60" t="s">
        <v>87</v>
      </c>
      <c r="G334" s="60" t="s">
        <v>117</v>
      </c>
      <c r="H334" s="60" t="s">
        <v>707</v>
      </c>
      <c r="I334" s="60" t="s">
        <v>101</v>
      </c>
      <c r="J334" s="60" t="s">
        <v>2</v>
      </c>
      <c r="K334" s="60" t="s">
        <v>2</v>
      </c>
      <c r="L334" s="60" t="s">
        <v>87</v>
      </c>
      <c r="M334" s="60">
        <v>34</v>
      </c>
      <c r="N334" s="60" t="s">
        <v>87</v>
      </c>
      <c r="O334" s="60">
        <v>6</v>
      </c>
      <c r="P334" s="60" t="s">
        <v>740</v>
      </c>
      <c r="Q334" s="60" t="s">
        <v>19</v>
      </c>
      <c r="R334" s="60" t="s">
        <v>21</v>
      </c>
      <c r="S334" s="60" t="s">
        <v>92</v>
      </c>
      <c r="T334" s="60" t="s">
        <v>94</v>
      </c>
      <c r="U334" s="60" t="s">
        <v>108</v>
      </c>
      <c r="V334" s="60" t="s">
        <v>94</v>
      </c>
      <c r="W334" s="60" t="s">
        <v>93</v>
      </c>
      <c r="X334" s="63" t="s">
        <v>102</v>
      </c>
    </row>
    <row r="335" spans="1:24">
      <c r="A335" s="60">
        <v>379</v>
      </c>
      <c r="B335" s="61" t="s">
        <v>426</v>
      </c>
      <c r="C335" s="62" t="s">
        <v>427</v>
      </c>
      <c r="D335" s="62" t="s">
        <v>428</v>
      </c>
      <c r="E335" s="60" t="s">
        <v>123</v>
      </c>
      <c r="F335" s="60" t="s">
        <v>87</v>
      </c>
      <c r="G335" s="60" t="s">
        <v>99</v>
      </c>
      <c r="H335" s="60" t="s">
        <v>100</v>
      </c>
      <c r="I335" s="60" t="s">
        <v>90</v>
      </c>
      <c r="J335" s="60" t="s">
        <v>2</v>
      </c>
      <c r="K335" s="60" t="s">
        <v>2</v>
      </c>
      <c r="L335" s="60">
        <v>144</v>
      </c>
      <c r="M335" s="60">
        <v>3</v>
      </c>
      <c r="N335" s="60">
        <v>12</v>
      </c>
      <c r="O335" s="60" t="s">
        <v>603</v>
      </c>
      <c r="P335" s="60" t="s">
        <v>210</v>
      </c>
      <c r="Q335" s="60" t="s">
        <v>19</v>
      </c>
      <c r="R335" s="60" t="s">
        <v>21</v>
      </c>
      <c r="S335" s="60" t="s">
        <v>92</v>
      </c>
      <c r="T335" s="60" t="s">
        <v>94</v>
      </c>
      <c r="U335" s="60" t="s">
        <v>108</v>
      </c>
      <c r="V335" s="60" t="s">
        <v>92</v>
      </c>
      <c r="W335" s="60" t="s">
        <v>93</v>
      </c>
      <c r="X335" s="63" t="s">
        <v>95</v>
      </c>
    </row>
    <row r="336" spans="1:24">
      <c r="A336" s="60">
        <v>168</v>
      </c>
      <c r="B336" s="61" t="s">
        <v>429</v>
      </c>
      <c r="C336" s="62" t="s">
        <v>430</v>
      </c>
      <c r="D336" s="62" t="s">
        <v>140</v>
      </c>
      <c r="E336" s="60" t="s">
        <v>127</v>
      </c>
      <c r="F336" s="60" t="s">
        <v>87</v>
      </c>
      <c r="G336" s="60" t="s">
        <v>142</v>
      </c>
      <c r="H336" s="60" t="s">
        <v>100</v>
      </c>
      <c r="I336" s="60" t="s">
        <v>90</v>
      </c>
      <c r="J336" s="60" t="s">
        <v>3</v>
      </c>
      <c r="K336" s="60" t="s">
        <v>3</v>
      </c>
      <c r="L336" s="60">
        <v>183</v>
      </c>
      <c r="M336" s="60" t="s">
        <v>87</v>
      </c>
      <c r="N336" s="60">
        <v>12</v>
      </c>
      <c r="O336" s="60" t="s">
        <v>87</v>
      </c>
      <c r="P336" s="60">
        <v>12</v>
      </c>
      <c r="Q336" s="60" t="s">
        <v>22</v>
      </c>
      <c r="R336" s="60" t="s">
        <v>92</v>
      </c>
      <c r="S336" s="60" t="s">
        <v>92</v>
      </c>
      <c r="T336" s="60" t="s">
        <v>92</v>
      </c>
      <c r="U336" s="60" t="s">
        <v>101</v>
      </c>
      <c r="V336" s="60" t="s">
        <v>92</v>
      </c>
      <c r="W336" s="60" t="s">
        <v>93</v>
      </c>
      <c r="X336" s="63" t="s">
        <v>95</v>
      </c>
    </row>
    <row r="337" spans="1:24">
      <c r="A337" s="60">
        <v>415</v>
      </c>
      <c r="B337" s="61" t="s">
        <v>1663</v>
      </c>
      <c r="C337" s="62" t="s">
        <v>1664</v>
      </c>
      <c r="D337" s="62" t="s">
        <v>1665</v>
      </c>
      <c r="E337" s="60" t="s">
        <v>249</v>
      </c>
      <c r="F337" s="60" t="s">
        <v>87</v>
      </c>
      <c r="G337" s="60" t="s">
        <v>147</v>
      </c>
      <c r="H337" s="60" t="s">
        <v>707</v>
      </c>
      <c r="I337" s="60" t="s">
        <v>101</v>
      </c>
      <c r="J337" s="60" t="s">
        <v>2</v>
      </c>
      <c r="K337" s="60" t="s">
        <v>2</v>
      </c>
      <c r="L337" s="60" t="s">
        <v>87</v>
      </c>
      <c r="M337" s="60">
        <v>61</v>
      </c>
      <c r="N337" s="60" t="s">
        <v>87</v>
      </c>
      <c r="O337" s="60">
        <v>17</v>
      </c>
      <c r="P337" s="60" t="s">
        <v>748</v>
      </c>
      <c r="Q337" s="60" t="s">
        <v>24</v>
      </c>
      <c r="R337" s="60" t="s">
        <v>92</v>
      </c>
      <c r="S337" s="60" t="s">
        <v>37</v>
      </c>
      <c r="T337" s="60" t="s">
        <v>92</v>
      </c>
      <c r="U337" s="60" t="s">
        <v>108</v>
      </c>
      <c r="V337" s="60" t="s">
        <v>94</v>
      </c>
      <c r="W337" s="60" t="s">
        <v>93</v>
      </c>
      <c r="X337" s="63" t="s">
        <v>102</v>
      </c>
    </row>
    <row r="338" spans="1:24">
      <c r="A338" s="60">
        <v>837</v>
      </c>
      <c r="B338" s="61" t="s">
        <v>963</v>
      </c>
      <c r="C338" s="62" t="s">
        <v>964</v>
      </c>
      <c r="D338" s="62" t="s">
        <v>806</v>
      </c>
      <c r="E338" s="60" t="s">
        <v>209</v>
      </c>
      <c r="F338" s="60" t="s">
        <v>87</v>
      </c>
      <c r="G338" s="60" t="s">
        <v>142</v>
      </c>
      <c r="H338" s="60" t="s">
        <v>707</v>
      </c>
      <c r="I338" s="60" t="s">
        <v>90</v>
      </c>
      <c r="J338" s="60" t="s">
        <v>2</v>
      </c>
      <c r="K338" s="60" t="s">
        <v>2</v>
      </c>
      <c r="L338" s="60" t="s">
        <v>87</v>
      </c>
      <c r="M338" s="60">
        <v>52</v>
      </c>
      <c r="N338" s="60" t="s">
        <v>87</v>
      </c>
      <c r="O338" s="60">
        <v>14</v>
      </c>
      <c r="P338" s="60" t="s">
        <v>794</v>
      </c>
      <c r="Q338" s="60" t="s">
        <v>24</v>
      </c>
      <c r="R338" s="60" t="s">
        <v>20</v>
      </c>
      <c r="S338" s="60" t="s">
        <v>92</v>
      </c>
      <c r="T338" s="60" t="s">
        <v>94</v>
      </c>
      <c r="U338" s="60" t="s">
        <v>93</v>
      </c>
      <c r="V338" s="60" t="s">
        <v>94</v>
      </c>
      <c r="W338" s="60" t="s">
        <v>108</v>
      </c>
      <c r="X338" s="63" t="s">
        <v>95</v>
      </c>
    </row>
    <row r="339" spans="1:24">
      <c r="A339" s="60">
        <v>1321</v>
      </c>
      <c r="B339" s="61" t="s">
        <v>1462</v>
      </c>
      <c r="C339" s="62" t="s">
        <v>432</v>
      </c>
      <c r="D339" s="62" t="s">
        <v>886</v>
      </c>
      <c r="E339" s="60" t="s">
        <v>209</v>
      </c>
      <c r="F339" s="60" t="s">
        <v>170</v>
      </c>
      <c r="G339" s="60" t="s">
        <v>117</v>
      </c>
      <c r="H339" s="60" t="s">
        <v>100</v>
      </c>
      <c r="I339" s="60" t="s">
        <v>101</v>
      </c>
      <c r="J339" s="60" t="s">
        <v>2</v>
      </c>
      <c r="K339" s="60" t="s">
        <v>2</v>
      </c>
      <c r="L339" s="60">
        <v>200</v>
      </c>
      <c r="M339" s="60">
        <v>100</v>
      </c>
      <c r="N339" s="60">
        <v>1</v>
      </c>
      <c r="O339" s="60">
        <v>1</v>
      </c>
      <c r="P339" s="60" t="s">
        <v>255</v>
      </c>
      <c r="Q339" s="60" t="s">
        <v>92</v>
      </c>
      <c r="R339" s="60" t="s">
        <v>20</v>
      </c>
      <c r="S339" s="60" t="s">
        <v>92</v>
      </c>
      <c r="T339" s="60" t="s">
        <v>94</v>
      </c>
      <c r="U339" s="60" t="s">
        <v>93</v>
      </c>
      <c r="V339" s="60" t="s">
        <v>92</v>
      </c>
      <c r="W339" s="60" t="s">
        <v>93</v>
      </c>
      <c r="X339" s="63" t="s">
        <v>102</v>
      </c>
    </row>
    <row r="340" spans="1:24">
      <c r="A340" s="60">
        <v>48</v>
      </c>
      <c r="B340" s="61" t="s">
        <v>431</v>
      </c>
      <c r="C340" s="62" t="s">
        <v>432</v>
      </c>
      <c r="D340" s="62" t="s">
        <v>168</v>
      </c>
      <c r="E340" s="60" t="s">
        <v>86</v>
      </c>
      <c r="F340" s="60" t="s">
        <v>87</v>
      </c>
      <c r="G340" s="60" t="s">
        <v>99</v>
      </c>
      <c r="H340" s="60" t="s">
        <v>100</v>
      </c>
      <c r="I340" s="60" t="s">
        <v>90</v>
      </c>
      <c r="J340" s="60" t="s">
        <v>2</v>
      </c>
      <c r="K340" s="60" t="s">
        <v>2</v>
      </c>
      <c r="L340" s="60">
        <v>135</v>
      </c>
      <c r="M340" s="60" t="s">
        <v>87</v>
      </c>
      <c r="N340" s="60">
        <v>6</v>
      </c>
      <c r="O340" s="60" t="s">
        <v>87</v>
      </c>
      <c r="P340" s="60">
        <v>6</v>
      </c>
      <c r="Q340" s="60" t="s">
        <v>22</v>
      </c>
      <c r="R340" s="60" t="s">
        <v>92</v>
      </c>
      <c r="S340" s="60" t="s">
        <v>92</v>
      </c>
      <c r="T340" s="60" t="s">
        <v>94</v>
      </c>
      <c r="U340" s="60" t="s">
        <v>108</v>
      </c>
      <c r="V340" s="60" t="s">
        <v>92</v>
      </c>
      <c r="W340" s="60" t="s">
        <v>93</v>
      </c>
      <c r="X340" s="63" t="s">
        <v>95</v>
      </c>
    </row>
    <row r="341" spans="1:24">
      <c r="A341" s="60">
        <v>1143</v>
      </c>
      <c r="B341" s="61" t="s">
        <v>1666</v>
      </c>
      <c r="C341" s="62" t="s">
        <v>432</v>
      </c>
      <c r="D341" s="62" t="s">
        <v>262</v>
      </c>
      <c r="E341" s="60" t="s">
        <v>149</v>
      </c>
      <c r="F341" s="60" t="s">
        <v>170</v>
      </c>
      <c r="G341" s="60" t="s">
        <v>99</v>
      </c>
      <c r="H341" s="60" t="s">
        <v>707</v>
      </c>
      <c r="I341" s="60" t="s">
        <v>101</v>
      </c>
      <c r="J341" s="60" t="s">
        <v>2</v>
      </c>
      <c r="K341" s="60" t="s">
        <v>2</v>
      </c>
      <c r="L341" s="60" t="s">
        <v>87</v>
      </c>
      <c r="M341" s="60">
        <v>100</v>
      </c>
      <c r="N341" s="60" t="s">
        <v>87</v>
      </c>
      <c r="O341" s="60">
        <v>1</v>
      </c>
      <c r="P341" s="60" t="s">
        <v>729</v>
      </c>
      <c r="Q341" s="60" t="s">
        <v>92</v>
      </c>
      <c r="R341" s="60" t="s">
        <v>92</v>
      </c>
      <c r="S341" s="60" t="s">
        <v>38</v>
      </c>
      <c r="T341" s="60" t="s">
        <v>94</v>
      </c>
      <c r="U341" s="60" t="s">
        <v>93</v>
      </c>
      <c r="V341" s="60" t="s">
        <v>94</v>
      </c>
      <c r="W341" s="60" t="s">
        <v>93</v>
      </c>
      <c r="X341" s="63" t="s">
        <v>102</v>
      </c>
    </row>
    <row r="342" spans="1:24">
      <c r="A342" s="60">
        <v>586</v>
      </c>
      <c r="B342" s="61" t="s">
        <v>61</v>
      </c>
      <c r="C342" s="62" t="s">
        <v>434</v>
      </c>
      <c r="D342" s="62" t="s">
        <v>331</v>
      </c>
      <c r="E342" s="60" t="s">
        <v>163</v>
      </c>
      <c r="F342" s="60" t="s">
        <v>170</v>
      </c>
      <c r="G342" s="60" t="s">
        <v>88</v>
      </c>
      <c r="H342" s="60" t="s">
        <v>100</v>
      </c>
      <c r="I342" s="60" t="s">
        <v>101</v>
      </c>
      <c r="J342" s="60" t="s">
        <v>2</v>
      </c>
      <c r="K342" s="60" t="s">
        <v>2</v>
      </c>
      <c r="L342" s="60">
        <v>200</v>
      </c>
      <c r="M342" s="60">
        <v>100</v>
      </c>
      <c r="N342" s="60">
        <v>2</v>
      </c>
      <c r="O342" s="60">
        <v>1</v>
      </c>
      <c r="P342" s="60" t="s">
        <v>172</v>
      </c>
      <c r="Q342" s="60" t="s">
        <v>92</v>
      </c>
      <c r="R342" s="60" t="s">
        <v>92</v>
      </c>
      <c r="S342" s="60" t="s">
        <v>38</v>
      </c>
      <c r="T342" s="60" t="s">
        <v>94</v>
      </c>
      <c r="U342" s="60" t="s">
        <v>101</v>
      </c>
      <c r="V342" s="60" t="s">
        <v>92</v>
      </c>
      <c r="W342" s="60" t="s">
        <v>101</v>
      </c>
      <c r="X342" s="63" t="s">
        <v>102</v>
      </c>
    </row>
    <row r="343" spans="1:24">
      <c r="A343" s="60">
        <v>829</v>
      </c>
      <c r="B343" s="61" t="s">
        <v>435</v>
      </c>
      <c r="C343" s="62" t="s">
        <v>436</v>
      </c>
      <c r="D343" s="62" t="s">
        <v>437</v>
      </c>
      <c r="E343" s="60" t="s">
        <v>209</v>
      </c>
      <c r="F343" s="60" t="s">
        <v>87</v>
      </c>
      <c r="G343" s="60" t="s">
        <v>88</v>
      </c>
      <c r="H343" s="60" t="s">
        <v>100</v>
      </c>
      <c r="I343" s="60" t="s">
        <v>101</v>
      </c>
      <c r="J343" s="60" t="s">
        <v>2</v>
      </c>
      <c r="K343" s="60" t="s">
        <v>2</v>
      </c>
      <c r="L343" s="60">
        <v>169</v>
      </c>
      <c r="M343" s="60" t="s">
        <v>87</v>
      </c>
      <c r="N343" s="60">
        <v>4</v>
      </c>
      <c r="O343" s="60" t="s">
        <v>87</v>
      </c>
      <c r="P343" s="60">
        <v>4</v>
      </c>
      <c r="Q343" s="60" t="s">
        <v>19</v>
      </c>
      <c r="R343" s="60" t="s">
        <v>92</v>
      </c>
      <c r="S343" s="60" t="s">
        <v>3</v>
      </c>
      <c r="T343" s="60" t="s">
        <v>92</v>
      </c>
      <c r="U343" s="60" t="s">
        <v>101</v>
      </c>
      <c r="V343" s="60" t="s">
        <v>92</v>
      </c>
      <c r="W343" s="60" t="s">
        <v>90</v>
      </c>
      <c r="X343" s="63" t="s">
        <v>102</v>
      </c>
    </row>
    <row r="344" spans="1:24">
      <c r="A344" s="60">
        <v>1067</v>
      </c>
      <c r="B344" s="61" t="s">
        <v>1667</v>
      </c>
      <c r="C344" s="62" t="s">
        <v>1668</v>
      </c>
      <c r="D344" s="62" t="s">
        <v>965</v>
      </c>
      <c r="E344" s="60" t="s">
        <v>152</v>
      </c>
      <c r="F344" s="60" t="s">
        <v>87</v>
      </c>
      <c r="G344" s="60" t="s">
        <v>171</v>
      </c>
      <c r="H344" s="60" t="s">
        <v>707</v>
      </c>
      <c r="I344" s="60" t="s">
        <v>90</v>
      </c>
      <c r="J344" s="60" t="s">
        <v>2</v>
      </c>
      <c r="K344" s="60" t="s">
        <v>2</v>
      </c>
      <c r="L344" s="60" t="s">
        <v>87</v>
      </c>
      <c r="M344" s="60">
        <v>16</v>
      </c>
      <c r="N344" s="60" t="s">
        <v>87</v>
      </c>
      <c r="O344" s="60">
        <v>4</v>
      </c>
      <c r="P344" s="60" t="s">
        <v>754</v>
      </c>
      <c r="Q344" s="60" t="s">
        <v>22</v>
      </c>
      <c r="R344" s="60" t="s">
        <v>21</v>
      </c>
      <c r="S344" s="60" t="s">
        <v>92</v>
      </c>
      <c r="T344" s="60" t="s">
        <v>94</v>
      </c>
      <c r="U344" s="60" t="s">
        <v>108</v>
      </c>
      <c r="V344" s="60" t="s">
        <v>94</v>
      </c>
      <c r="W344" s="60" t="s">
        <v>90</v>
      </c>
      <c r="X344" s="63" t="s">
        <v>95</v>
      </c>
    </row>
    <row r="345" spans="1:24">
      <c r="A345" s="60">
        <v>616</v>
      </c>
      <c r="B345" s="61" t="s">
        <v>57</v>
      </c>
      <c r="C345" s="62" t="s">
        <v>438</v>
      </c>
      <c r="D345" s="62" t="s">
        <v>439</v>
      </c>
      <c r="E345" s="60" t="s">
        <v>154</v>
      </c>
      <c r="F345" s="60" t="s">
        <v>87</v>
      </c>
      <c r="G345" s="60" t="s">
        <v>99</v>
      </c>
      <c r="H345" s="60" t="s">
        <v>100</v>
      </c>
      <c r="I345" s="60" t="s">
        <v>101</v>
      </c>
      <c r="J345" s="60" t="s">
        <v>3</v>
      </c>
      <c r="K345" s="60" t="s">
        <v>3</v>
      </c>
      <c r="L345" s="60">
        <v>233</v>
      </c>
      <c r="M345" s="60" t="s">
        <v>87</v>
      </c>
      <c r="N345" s="60">
        <v>17</v>
      </c>
      <c r="O345" s="60" t="s">
        <v>87</v>
      </c>
      <c r="P345" s="60">
        <v>17</v>
      </c>
      <c r="Q345" s="60" t="s">
        <v>24</v>
      </c>
      <c r="R345" s="60" t="s">
        <v>20</v>
      </c>
      <c r="S345" s="60" t="s">
        <v>37</v>
      </c>
      <c r="T345" s="60" t="s">
        <v>92</v>
      </c>
      <c r="U345" s="60" t="s">
        <v>108</v>
      </c>
      <c r="V345" s="60" t="s">
        <v>92</v>
      </c>
      <c r="W345" s="60" t="s">
        <v>101</v>
      </c>
      <c r="X345" s="63" t="s">
        <v>102</v>
      </c>
    </row>
    <row r="346" spans="1:24">
      <c r="A346" s="60">
        <v>166</v>
      </c>
      <c r="B346" s="61" t="s">
        <v>440</v>
      </c>
      <c r="C346" s="62" t="s">
        <v>441</v>
      </c>
      <c r="D346" s="62" t="s">
        <v>442</v>
      </c>
      <c r="E346" s="60" t="s">
        <v>157</v>
      </c>
      <c r="F346" s="60" t="s">
        <v>87</v>
      </c>
      <c r="G346" s="60" t="s">
        <v>99</v>
      </c>
      <c r="H346" s="60" t="s">
        <v>100</v>
      </c>
      <c r="I346" s="60" t="s">
        <v>101</v>
      </c>
      <c r="J346" s="60" t="s">
        <v>3</v>
      </c>
      <c r="K346" s="60" t="s">
        <v>3</v>
      </c>
      <c r="L346" s="60">
        <v>232</v>
      </c>
      <c r="M346" s="60" t="s">
        <v>87</v>
      </c>
      <c r="N346" s="60">
        <v>16</v>
      </c>
      <c r="O346" s="60" t="s">
        <v>87</v>
      </c>
      <c r="P346" s="60">
        <v>16</v>
      </c>
      <c r="Q346" s="60" t="s">
        <v>19</v>
      </c>
      <c r="R346" s="60" t="s">
        <v>20</v>
      </c>
      <c r="S346" s="60" t="s">
        <v>37</v>
      </c>
      <c r="T346" s="60" t="s">
        <v>94</v>
      </c>
      <c r="U346" s="60" t="s">
        <v>108</v>
      </c>
      <c r="V346" s="60" t="s">
        <v>92</v>
      </c>
      <c r="W346" s="60" t="s">
        <v>90</v>
      </c>
      <c r="X346" s="63" t="s">
        <v>102</v>
      </c>
    </row>
    <row r="347" spans="1:24">
      <c r="A347" s="60">
        <v>834</v>
      </c>
      <c r="B347" s="61" t="s">
        <v>966</v>
      </c>
      <c r="C347" s="62" t="s">
        <v>967</v>
      </c>
      <c r="D347" s="62" t="s">
        <v>787</v>
      </c>
      <c r="E347" s="60" t="s">
        <v>209</v>
      </c>
      <c r="F347" s="60" t="s">
        <v>87</v>
      </c>
      <c r="G347" s="60" t="s">
        <v>99</v>
      </c>
      <c r="H347" s="60" t="s">
        <v>707</v>
      </c>
      <c r="I347" s="60" t="s">
        <v>90</v>
      </c>
      <c r="J347" s="60" t="s">
        <v>2</v>
      </c>
      <c r="K347" s="60" t="s">
        <v>2</v>
      </c>
      <c r="L347" s="60" t="s">
        <v>87</v>
      </c>
      <c r="M347" s="60">
        <v>60</v>
      </c>
      <c r="N347" s="60" t="s">
        <v>87</v>
      </c>
      <c r="O347" s="60">
        <v>16</v>
      </c>
      <c r="P347" s="60" t="s">
        <v>726</v>
      </c>
      <c r="Q347" s="60" t="s">
        <v>24</v>
      </c>
      <c r="R347" s="60" t="s">
        <v>92</v>
      </c>
      <c r="S347" s="60" t="s">
        <v>92</v>
      </c>
      <c r="T347" s="60" t="s">
        <v>94</v>
      </c>
      <c r="U347" s="60" t="s">
        <v>108</v>
      </c>
      <c r="V347" s="60" t="s">
        <v>92</v>
      </c>
      <c r="W347" s="60" t="s">
        <v>93</v>
      </c>
      <c r="X347" s="63" t="s">
        <v>95</v>
      </c>
    </row>
    <row r="348" spans="1:24">
      <c r="A348" s="60">
        <v>1232</v>
      </c>
      <c r="B348" s="61" t="s">
        <v>968</v>
      </c>
      <c r="C348" s="62" t="s">
        <v>969</v>
      </c>
      <c r="D348" s="62" t="s">
        <v>148</v>
      </c>
      <c r="E348" s="60" t="s">
        <v>42</v>
      </c>
      <c r="F348" s="60" t="s">
        <v>170</v>
      </c>
      <c r="G348" s="60" t="s">
        <v>88</v>
      </c>
      <c r="H348" s="60" t="s">
        <v>707</v>
      </c>
      <c r="I348" s="60" t="s">
        <v>101</v>
      </c>
      <c r="J348" s="60" t="s">
        <v>2</v>
      </c>
      <c r="K348" s="60" t="s">
        <v>2</v>
      </c>
      <c r="L348" s="60" t="s">
        <v>87</v>
      </c>
      <c r="M348" s="60">
        <v>100</v>
      </c>
      <c r="N348" s="60" t="s">
        <v>87</v>
      </c>
      <c r="O348" s="60">
        <v>2</v>
      </c>
      <c r="P348" s="60" t="s">
        <v>807</v>
      </c>
      <c r="Q348" s="60" t="s">
        <v>22</v>
      </c>
      <c r="R348" s="60" t="s">
        <v>21</v>
      </c>
      <c r="S348" s="60" t="s">
        <v>92</v>
      </c>
      <c r="T348" s="60" t="s">
        <v>94</v>
      </c>
      <c r="U348" s="60" t="s">
        <v>108</v>
      </c>
      <c r="V348" s="60" t="s">
        <v>94</v>
      </c>
      <c r="W348" s="60" t="s">
        <v>93</v>
      </c>
      <c r="X348" s="63" t="s">
        <v>102</v>
      </c>
    </row>
    <row r="349" spans="1:24">
      <c r="A349" s="60">
        <v>1096</v>
      </c>
      <c r="B349" s="61" t="s">
        <v>1366</v>
      </c>
      <c r="C349" s="62" t="s">
        <v>1367</v>
      </c>
      <c r="D349" s="62" t="s">
        <v>407</v>
      </c>
      <c r="E349" s="60" t="s">
        <v>249</v>
      </c>
      <c r="F349" s="60" t="s">
        <v>170</v>
      </c>
      <c r="G349" s="60" t="s">
        <v>150</v>
      </c>
      <c r="H349" s="60" t="s">
        <v>89</v>
      </c>
      <c r="I349" s="60" t="s">
        <v>90</v>
      </c>
      <c r="J349" s="60" t="s">
        <v>2</v>
      </c>
      <c r="K349" s="60" t="s">
        <v>2</v>
      </c>
      <c r="L349" s="60">
        <v>200</v>
      </c>
      <c r="M349" s="60">
        <v>10</v>
      </c>
      <c r="N349" s="60">
        <v>2</v>
      </c>
      <c r="O349" s="60" t="s">
        <v>108</v>
      </c>
      <c r="P349" s="60" t="s">
        <v>113</v>
      </c>
      <c r="Q349" s="60" t="s">
        <v>92</v>
      </c>
      <c r="R349" s="60" t="s">
        <v>21</v>
      </c>
      <c r="S349" s="60" t="s">
        <v>38</v>
      </c>
      <c r="T349" s="60" t="s">
        <v>94</v>
      </c>
      <c r="U349" s="60" t="s">
        <v>108</v>
      </c>
      <c r="V349" s="60" t="s">
        <v>94</v>
      </c>
      <c r="W349" s="60" t="s">
        <v>93</v>
      </c>
      <c r="X349" s="63" t="s">
        <v>95</v>
      </c>
    </row>
    <row r="350" spans="1:24">
      <c r="A350" s="60">
        <v>105</v>
      </c>
      <c r="B350" s="61" t="s">
        <v>444</v>
      </c>
      <c r="C350" s="62" t="s">
        <v>445</v>
      </c>
      <c r="D350" s="62" t="s">
        <v>446</v>
      </c>
      <c r="E350" s="60" t="s">
        <v>146</v>
      </c>
      <c r="F350" s="60" t="s">
        <v>87</v>
      </c>
      <c r="G350" s="60" t="s">
        <v>182</v>
      </c>
      <c r="H350" s="60" t="s">
        <v>100</v>
      </c>
      <c r="I350" s="60" t="s">
        <v>101</v>
      </c>
      <c r="J350" s="60" t="s">
        <v>2</v>
      </c>
      <c r="K350" s="60" t="s">
        <v>2</v>
      </c>
      <c r="L350" s="60">
        <v>222</v>
      </c>
      <c r="M350" s="60" t="s">
        <v>87</v>
      </c>
      <c r="N350" s="60">
        <v>9</v>
      </c>
      <c r="O350" s="60" t="s">
        <v>87</v>
      </c>
      <c r="P350" s="60">
        <v>9</v>
      </c>
      <c r="Q350" s="60" t="s">
        <v>24</v>
      </c>
      <c r="R350" s="60" t="s">
        <v>20</v>
      </c>
      <c r="S350" s="60" t="s">
        <v>92</v>
      </c>
      <c r="T350" s="60" t="s">
        <v>92</v>
      </c>
      <c r="U350" s="60" t="s">
        <v>101</v>
      </c>
      <c r="V350" s="60" t="s">
        <v>92</v>
      </c>
      <c r="W350" s="60" t="s">
        <v>93</v>
      </c>
      <c r="X350" s="63" t="s">
        <v>102</v>
      </c>
    </row>
    <row r="351" spans="1:24">
      <c r="A351" s="60">
        <v>686</v>
      </c>
      <c r="B351" s="61" t="s">
        <v>1368</v>
      </c>
      <c r="C351" s="62" t="s">
        <v>1369</v>
      </c>
      <c r="D351" s="62" t="s">
        <v>446</v>
      </c>
      <c r="E351" s="60" t="s">
        <v>42</v>
      </c>
      <c r="F351" s="60" t="s">
        <v>87</v>
      </c>
      <c r="G351" s="60" t="s">
        <v>107</v>
      </c>
      <c r="H351" s="60" t="s">
        <v>707</v>
      </c>
      <c r="I351" s="60" t="s">
        <v>101</v>
      </c>
      <c r="J351" s="60" t="s">
        <v>2</v>
      </c>
      <c r="K351" s="60" t="s">
        <v>2</v>
      </c>
      <c r="L351" s="60" t="s">
        <v>87</v>
      </c>
      <c r="M351" s="60">
        <v>51</v>
      </c>
      <c r="N351" s="60" t="s">
        <v>87</v>
      </c>
      <c r="O351" s="60">
        <v>13</v>
      </c>
      <c r="P351" s="60" t="s">
        <v>718</v>
      </c>
      <c r="Q351" s="60" t="s">
        <v>24</v>
      </c>
      <c r="R351" s="60" t="s">
        <v>92</v>
      </c>
      <c r="S351" s="60" t="s">
        <v>3</v>
      </c>
      <c r="T351" s="60" t="s">
        <v>94</v>
      </c>
      <c r="U351" s="60" t="s">
        <v>90</v>
      </c>
      <c r="V351" s="60" t="s">
        <v>92</v>
      </c>
      <c r="W351" s="60" t="s">
        <v>93</v>
      </c>
      <c r="X351" s="63" t="s">
        <v>102</v>
      </c>
    </row>
    <row r="352" spans="1:24">
      <c r="A352" s="60">
        <v>959</v>
      </c>
      <c r="B352" s="61" t="s">
        <v>1669</v>
      </c>
      <c r="C352" s="62" t="s">
        <v>1670</v>
      </c>
      <c r="D352" s="62" t="s">
        <v>1671</v>
      </c>
      <c r="E352" s="60" t="s">
        <v>111</v>
      </c>
      <c r="F352" s="60" t="s">
        <v>170</v>
      </c>
      <c r="G352" s="60" t="s">
        <v>117</v>
      </c>
      <c r="H352" s="60" t="s">
        <v>707</v>
      </c>
      <c r="I352" s="60" t="s">
        <v>90</v>
      </c>
      <c r="J352" s="60" t="s">
        <v>2</v>
      </c>
      <c r="K352" s="60" t="s">
        <v>2</v>
      </c>
      <c r="L352" s="60" t="s">
        <v>87</v>
      </c>
      <c r="M352" s="60">
        <v>100</v>
      </c>
      <c r="N352" s="60" t="s">
        <v>87</v>
      </c>
      <c r="O352" s="60">
        <v>1</v>
      </c>
      <c r="P352" s="60" t="s">
        <v>729</v>
      </c>
      <c r="Q352" s="60" t="s">
        <v>22</v>
      </c>
      <c r="R352" s="60" t="s">
        <v>92</v>
      </c>
      <c r="S352" s="60" t="s">
        <v>38</v>
      </c>
      <c r="T352" s="60" t="s">
        <v>92</v>
      </c>
      <c r="U352" s="60" t="s">
        <v>108</v>
      </c>
      <c r="V352" s="60" t="s">
        <v>92</v>
      </c>
      <c r="W352" s="60" t="s">
        <v>93</v>
      </c>
      <c r="X352" s="63" t="s">
        <v>95</v>
      </c>
    </row>
    <row r="353" spans="1:24">
      <c r="A353" s="60">
        <v>647</v>
      </c>
      <c r="B353" s="61" t="s">
        <v>447</v>
      </c>
      <c r="C353" s="62" t="s">
        <v>448</v>
      </c>
      <c r="D353" s="62" t="s">
        <v>343</v>
      </c>
      <c r="E353" s="60" t="s">
        <v>106</v>
      </c>
      <c r="F353" s="60" t="s">
        <v>87</v>
      </c>
      <c r="G353" s="60" t="s">
        <v>182</v>
      </c>
      <c r="H353" s="60" t="s">
        <v>100</v>
      </c>
      <c r="I353" s="60" t="s">
        <v>90</v>
      </c>
      <c r="J353" s="60" t="s">
        <v>2</v>
      </c>
      <c r="K353" s="60" t="s">
        <v>2</v>
      </c>
      <c r="L353" s="60">
        <v>185</v>
      </c>
      <c r="M353" s="60">
        <v>3</v>
      </c>
      <c r="N353" s="60">
        <v>8</v>
      </c>
      <c r="O353" s="60" t="s">
        <v>344</v>
      </c>
      <c r="P353" s="60" t="s">
        <v>198</v>
      </c>
      <c r="Q353" s="60" t="s">
        <v>92</v>
      </c>
      <c r="R353" s="60" t="s">
        <v>21</v>
      </c>
      <c r="S353" s="60" t="s">
        <v>92</v>
      </c>
      <c r="T353" s="60" t="s">
        <v>94</v>
      </c>
      <c r="U353" s="60" t="s">
        <v>90</v>
      </c>
      <c r="V353" s="60" t="s">
        <v>92</v>
      </c>
      <c r="W353" s="60" t="s">
        <v>90</v>
      </c>
      <c r="X353" s="63" t="s">
        <v>95</v>
      </c>
    </row>
    <row r="354" spans="1:24">
      <c r="A354" s="60">
        <v>1144</v>
      </c>
      <c r="B354" s="61" t="s">
        <v>970</v>
      </c>
      <c r="C354" s="62" t="s">
        <v>971</v>
      </c>
      <c r="D354" s="62" t="s">
        <v>299</v>
      </c>
      <c r="E354" s="60" t="s">
        <v>149</v>
      </c>
      <c r="F354" s="60" t="s">
        <v>87</v>
      </c>
      <c r="G354" s="60" t="s">
        <v>182</v>
      </c>
      <c r="H354" s="60" t="s">
        <v>707</v>
      </c>
      <c r="I354" s="60" t="s">
        <v>90</v>
      </c>
      <c r="J354" s="60" t="s">
        <v>2</v>
      </c>
      <c r="K354" s="60" t="s">
        <v>2</v>
      </c>
      <c r="L354" s="60" t="s">
        <v>87</v>
      </c>
      <c r="M354" s="60">
        <v>5</v>
      </c>
      <c r="N354" s="60" t="s">
        <v>87</v>
      </c>
      <c r="O354" s="60">
        <v>4</v>
      </c>
      <c r="P354" s="60" t="s">
        <v>754</v>
      </c>
      <c r="Q354" s="60" t="s">
        <v>22</v>
      </c>
      <c r="R354" s="60" t="s">
        <v>21</v>
      </c>
      <c r="S354" s="60" t="s">
        <v>92</v>
      </c>
      <c r="T354" s="60" t="s">
        <v>92</v>
      </c>
      <c r="U354" s="60" t="s">
        <v>101</v>
      </c>
      <c r="V354" s="60" t="s">
        <v>92</v>
      </c>
      <c r="W354" s="60" t="s">
        <v>93</v>
      </c>
      <c r="X354" s="63" t="s">
        <v>95</v>
      </c>
    </row>
    <row r="355" spans="1:24">
      <c r="A355" s="60">
        <v>864</v>
      </c>
      <c r="B355" s="61" t="s">
        <v>972</v>
      </c>
      <c r="C355" s="62" t="s">
        <v>973</v>
      </c>
      <c r="D355" s="62" t="s">
        <v>974</v>
      </c>
      <c r="E355" s="60" t="s">
        <v>190</v>
      </c>
      <c r="F355" s="60" t="s">
        <v>87</v>
      </c>
      <c r="G355" s="60" t="s">
        <v>88</v>
      </c>
      <c r="H355" s="60" t="s">
        <v>707</v>
      </c>
      <c r="I355" s="60" t="s">
        <v>101</v>
      </c>
      <c r="J355" s="60" t="s">
        <v>2</v>
      </c>
      <c r="K355" s="60" t="s">
        <v>2</v>
      </c>
      <c r="L355" s="60" t="s">
        <v>87</v>
      </c>
      <c r="M355" s="60">
        <v>74</v>
      </c>
      <c r="N355" s="60" t="s">
        <v>87</v>
      </c>
      <c r="O355" s="60">
        <v>15</v>
      </c>
      <c r="P355" s="60" t="s">
        <v>836</v>
      </c>
      <c r="Q355" s="60" t="s">
        <v>92</v>
      </c>
      <c r="R355" s="60" t="s">
        <v>20</v>
      </c>
      <c r="S355" s="60" t="s">
        <v>92</v>
      </c>
      <c r="T355" s="60" t="s">
        <v>94</v>
      </c>
      <c r="U355" s="60" t="s">
        <v>108</v>
      </c>
      <c r="V355" s="60" t="s">
        <v>94</v>
      </c>
      <c r="W355" s="60" t="s">
        <v>93</v>
      </c>
      <c r="X355" s="63" t="s">
        <v>102</v>
      </c>
    </row>
    <row r="356" spans="1:24">
      <c r="A356" s="60">
        <v>148</v>
      </c>
      <c r="B356" s="61" t="s">
        <v>975</v>
      </c>
      <c r="C356" s="62" t="s">
        <v>976</v>
      </c>
      <c r="D356" s="62" t="s">
        <v>437</v>
      </c>
      <c r="E356" s="60" t="s">
        <v>111</v>
      </c>
      <c r="F356" s="60" t="s">
        <v>87</v>
      </c>
      <c r="G356" s="60" t="s">
        <v>112</v>
      </c>
      <c r="H356" s="60" t="s">
        <v>707</v>
      </c>
      <c r="I356" s="60" t="s">
        <v>90</v>
      </c>
      <c r="J356" s="60" t="s">
        <v>3</v>
      </c>
      <c r="K356" s="60" t="s">
        <v>3</v>
      </c>
      <c r="L356" s="60" t="s">
        <v>87</v>
      </c>
      <c r="M356" s="60">
        <v>28</v>
      </c>
      <c r="N356" s="60" t="s">
        <v>87</v>
      </c>
      <c r="O356" s="60">
        <v>5</v>
      </c>
      <c r="P356" s="60" t="s">
        <v>708</v>
      </c>
      <c r="Q356" s="60" t="s">
        <v>22</v>
      </c>
      <c r="R356" s="60" t="s">
        <v>21</v>
      </c>
      <c r="S356" s="60" t="s">
        <v>92</v>
      </c>
      <c r="T356" s="60" t="s">
        <v>94</v>
      </c>
      <c r="U356" s="60" t="s">
        <v>93</v>
      </c>
      <c r="V356" s="60" t="s">
        <v>92</v>
      </c>
      <c r="W356" s="60" t="s">
        <v>90</v>
      </c>
      <c r="X356" s="63" t="s">
        <v>95</v>
      </c>
    </row>
    <row r="357" spans="1:24">
      <c r="A357" s="60">
        <v>796</v>
      </c>
      <c r="B357" s="61" t="s">
        <v>59</v>
      </c>
      <c r="C357" s="62" t="s">
        <v>449</v>
      </c>
      <c r="D357" s="62" t="s">
        <v>248</v>
      </c>
      <c r="E357" s="60" t="s">
        <v>318</v>
      </c>
      <c r="F357" s="60" t="s">
        <v>87</v>
      </c>
      <c r="G357" s="60" t="s">
        <v>129</v>
      </c>
      <c r="H357" s="60" t="s">
        <v>100</v>
      </c>
      <c r="I357" s="60" t="s">
        <v>90</v>
      </c>
      <c r="J357" s="60" t="s">
        <v>2</v>
      </c>
      <c r="K357" s="60" t="s">
        <v>2</v>
      </c>
      <c r="L357" s="60">
        <v>218</v>
      </c>
      <c r="M357" s="60" t="s">
        <v>87</v>
      </c>
      <c r="N357" s="60">
        <v>13</v>
      </c>
      <c r="O357" s="60" t="s">
        <v>87</v>
      </c>
      <c r="P357" s="60">
        <v>13</v>
      </c>
      <c r="Q357" s="60" t="s">
        <v>22</v>
      </c>
      <c r="R357" s="60" t="s">
        <v>20</v>
      </c>
      <c r="S357" s="60" t="s">
        <v>92</v>
      </c>
      <c r="T357" s="60" t="s">
        <v>92</v>
      </c>
      <c r="U357" s="60" t="s">
        <v>101</v>
      </c>
      <c r="V357" s="60" t="s">
        <v>92</v>
      </c>
      <c r="W357" s="60" t="s">
        <v>93</v>
      </c>
      <c r="X357" s="63" t="s">
        <v>95</v>
      </c>
    </row>
    <row r="358" spans="1:24">
      <c r="A358" s="60">
        <v>1191</v>
      </c>
      <c r="B358" s="61" t="s">
        <v>1672</v>
      </c>
      <c r="C358" s="62" t="s">
        <v>1673</v>
      </c>
      <c r="D358" s="62" t="s">
        <v>375</v>
      </c>
      <c r="E358" s="60" t="s">
        <v>163</v>
      </c>
      <c r="F358" s="60" t="s">
        <v>87</v>
      </c>
      <c r="G358" s="60" t="s">
        <v>88</v>
      </c>
      <c r="H358" s="60" t="s">
        <v>707</v>
      </c>
      <c r="I358" s="60" t="s">
        <v>90</v>
      </c>
      <c r="J358" s="60" t="s">
        <v>3</v>
      </c>
      <c r="K358" s="60" t="s">
        <v>3</v>
      </c>
      <c r="L358" s="60" t="s">
        <v>87</v>
      </c>
      <c r="M358" s="60">
        <v>8</v>
      </c>
      <c r="N358" s="60" t="s">
        <v>87</v>
      </c>
      <c r="O358" s="60">
        <v>6</v>
      </c>
      <c r="P358" s="60" t="s">
        <v>740</v>
      </c>
      <c r="Q358" s="60" t="s">
        <v>92</v>
      </c>
      <c r="R358" s="60" t="s">
        <v>92</v>
      </c>
      <c r="S358" s="60" t="s">
        <v>92</v>
      </c>
      <c r="T358" s="60" t="s">
        <v>94</v>
      </c>
      <c r="U358" s="60" t="s">
        <v>90</v>
      </c>
      <c r="V358" s="60" t="s">
        <v>92</v>
      </c>
      <c r="W358" s="60" t="s">
        <v>101</v>
      </c>
      <c r="X358" s="63" t="s">
        <v>95</v>
      </c>
    </row>
    <row r="359" spans="1:24">
      <c r="A359" s="60">
        <v>1279</v>
      </c>
      <c r="B359" s="61" t="s">
        <v>1674</v>
      </c>
      <c r="C359" s="62" t="s">
        <v>1675</v>
      </c>
      <c r="D359" s="62" t="s">
        <v>977</v>
      </c>
      <c r="E359" s="60" t="s">
        <v>194</v>
      </c>
      <c r="F359" s="60" t="s">
        <v>87</v>
      </c>
      <c r="G359" s="60" t="s">
        <v>182</v>
      </c>
      <c r="H359" s="60" t="s">
        <v>707</v>
      </c>
      <c r="I359" s="60" t="s">
        <v>90</v>
      </c>
      <c r="J359" s="60" t="s">
        <v>3</v>
      </c>
      <c r="K359" s="60" t="s">
        <v>3</v>
      </c>
      <c r="L359" s="60" t="s">
        <v>87</v>
      </c>
      <c r="M359" s="60">
        <v>8</v>
      </c>
      <c r="N359" s="60" t="s">
        <v>87</v>
      </c>
      <c r="O359" s="60">
        <v>11</v>
      </c>
      <c r="P359" s="60" t="s">
        <v>778</v>
      </c>
      <c r="Q359" s="60" t="s">
        <v>24</v>
      </c>
      <c r="R359" s="60" t="s">
        <v>20</v>
      </c>
      <c r="S359" s="60" t="s">
        <v>3</v>
      </c>
      <c r="T359" s="60" t="s">
        <v>94</v>
      </c>
      <c r="U359" s="60" t="s">
        <v>90</v>
      </c>
      <c r="V359" s="60" t="s">
        <v>94</v>
      </c>
      <c r="W359" s="60" t="s">
        <v>93</v>
      </c>
      <c r="X359" s="63" t="s">
        <v>95</v>
      </c>
    </row>
    <row r="360" spans="1:24">
      <c r="A360" s="60">
        <v>559</v>
      </c>
      <c r="B360" s="61" t="s">
        <v>1676</v>
      </c>
      <c r="C360" s="62" t="s">
        <v>1677</v>
      </c>
      <c r="D360" s="62" t="s">
        <v>248</v>
      </c>
      <c r="E360" s="60" t="s">
        <v>128</v>
      </c>
      <c r="F360" s="60" t="s">
        <v>170</v>
      </c>
      <c r="G360" s="60" t="s">
        <v>112</v>
      </c>
      <c r="H360" s="60" t="s">
        <v>100</v>
      </c>
      <c r="I360" s="60" t="s">
        <v>90</v>
      </c>
      <c r="J360" s="60" t="s">
        <v>3</v>
      </c>
      <c r="K360" s="60" t="s">
        <v>3</v>
      </c>
      <c r="L360" s="60">
        <v>200</v>
      </c>
      <c r="M360" s="60">
        <v>100</v>
      </c>
      <c r="N360" s="60">
        <v>2</v>
      </c>
      <c r="O360" s="60">
        <v>1</v>
      </c>
      <c r="P360" s="60" t="s">
        <v>172</v>
      </c>
      <c r="Q360" s="60" t="s">
        <v>19</v>
      </c>
      <c r="R360" s="60" t="s">
        <v>92</v>
      </c>
      <c r="S360" s="60" t="s">
        <v>3</v>
      </c>
      <c r="T360" s="60" t="s">
        <v>94</v>
      </c>
      <c r="U360" s="60" t="s">
        <v>93</v>
      </c>
      <c r="V360" s="60" t="s">
        <v>92</v>
      </c>
      <c r="W360" s="60" t="s">
        <v>93</v>
      </c>
      <c r="X360" s="63" t="s">
        <v>95</v>
      </c>
    </row>
    <row r="361" spans="1:24">
      <c r="A361" s="60">
        <v>231</v>
      </c>
      <c r="B361" s="61" t="s">
        <v>450</v>
      </c>
      <c r="C361" s="62" t="s">
        <v>451</v>
      </c>
      <c r="D361" s="62" t="s">
        <v>452</v>
      </c>
      <c r="E361" s="60" t="s">
        <v>127</v>
      </c>
      <c r="F361" s="60" t="s">
        <v>87</v>
      </c>
      <c r="G361" s="60" t="s">
        <v>99</v>
      </c>
      <c r="H361" s="60" t="s">
        <v>100</v>
      </c>
      <c r="I361" s="60" t="s">
        <v>101</v>
      </c>
      <c r="J361" s="60" t="s">
        <v>2</v>
      </c>
      <c r="K361" s="60" t="s">
        <v>2</v>
      </c>
      <c r="L361" s="60">
        <v>112</v>
      </c>
      <c r="M361" s="60">
        <v>5</v>
      </c>
      <c r="N361" s="60">
        <v>3</v>
      </c>
      <c r="O361" s="60" t="s">
        <v>108</v>
      </c>
      <c r="P361" s="60" t="s">
        <v>134</v>
      </c>
      <c r="Q361" s="60" t="s">
        <v>22</v>
      </c>
      <c r="R361" s="60" t="s">
        <v>92</v>
      </c>
      <c r="S361" s="60" t="s">
        <v>92</v>
      </c>
      <c r="T361" s="60" t="s">
        <v>92</v>
      </c>
      <c r="U361" s="60" t="s">
        <v>108</v>
      </c>
      <c r="V361" s="60" t="s">
        <v>92</v>
      </c>
      <c r="W361" s="60" t="s">
        <v>93</v>
      </c>
      <c r="X361" s="63" t="s">
        <v>102</v>
      </c>
    </row>
    <row r="362" spans="1:24">
      <c r="A362" s="60">
        <v>54</v>
      </c>
      <c r="B362" s="61" t="s">
        <v>978</v>
      </c>
      <c r="C362" s="62" t="s">
        <v>979</v>
      </c>
      <c r="D362" s="62" t="s">
        <v>343</v>
      </c>
      <c r="E362" s="60" t="s">
        <v>86</v>
      </c>
      <c r="F362" s="60" t="s">
        <v>87</v>
      </c>
      <c r="G362" s="60" t="s">
        <v>88</v>
      </c>
      <c r="H362" s="60" t="s">
        <v>707</v>
      </c>
      <c r="I362" s="60" t="s">
        <v>101</v>
      </c>
      <c r="J362" s="60" t="s">
        <v>3</v>
      </c>
      <c r="K362" s="60" t="s">
        <v>3</v>
      </c>
      <c r="L362" s="60" t="s">
        <v>87</v>
      </c>
      <c r="M362" s="60">
        <v>48</v>
      </c>
      <c r="N362" s="60" t="s">
        <v>87</v>
      </c>
      <c r="O362" s="60">
        <v>9</v>
      </c>
      <c r="P362" s="60" t="s">
        <v>744</v>
      </c>
      <c r="Q362" s="60" t="s">
        <v>22</v>
      </c>
      <c r="R362" s="60" t="s">
        <v>21</v>
      </c>
      <c r="S362" s="60" t="s">
        <v>37</v>
      </c>
      <c r="T362" s="60" t="s">
        <v>94</v>
      </c>
      <c r="U362" s="60" t="s">
        <v>90</v>
      </c>
      <c r="V362" s="60" t="s">
        <v>92</v>
      </c>
      <c r="W362" s="60" t="s">
        <v>90</v>
      </c>
      <c r="X362" s="63" t="s">
        <v>102</v>
      </c>
    </row>
    <row r="363" spans="1:24">
      <c r="A363" s="60">
        <v>1231</v>
      </c>
      <c r="B363" s="61" t="s">
        <v>1678</v>
      </c>
      <c r="C363" s="62" t="s">
        <v>1679</v>
      </c>
      <c r="D363" s="62" t="s">
        <v>1680</v>
      </c>
      <c r="E363" s="60" t="s">
        <v>106</v>
      </c>
      <c r="F363" s="60" t="s">
        <v>87</v>
      </c>
      <c r="G363" s="60" t="s">
        <v>150</v>
      </c>
      <c r="H363" s="60" t="s">
        <v>707</v>
      </c>
      <c r="I363" s="60" t="s">
        <v>90</v>
      </c>
      <c r="J363" s="60" t="s">
        <v>3</v>
      </c>
      <c r="K363" s="60" t="s">
        <v>3</v>
      </c>
      <c r="L363" s="60" t="s">
        <v>87</v>
      </c>
      <c r="M363" s="60">
        <v>6</v>
      </c>
      <c r="N363" s="60" t="s">
        <v>87</v>
      </c>
      <c r="O363" s="60">
        <v>7</v>
      </c>
      <c r="P363" s="60" t="s">
        <v>722</v>
      </c>
      <c r="Q363" s="60" t="s">
        <v>22</v>
      </c>
      <c r="R363" s="60" t="s">
        <v>92</v>
      </c>
      <c r="S363" s="60" t="s">
        <v>3</v>
      </c>
      <c r="T363" s="60" t="s">
        <v>94</v>
      </c>
      <c r="U363" s="60" t="s">
        <v>90</v>
      </c>
      <c r="V363" s="60" t="s">
        <v>94</v>
      </c>
      <c r="W363" s="60" t="s">
        <v>93</v>
      </c>
      <c r="X363" s="63" t="s">
        <v>95</v>
      </c>
    </row>
    <row r="364" spans="1:24">
      <c r="A364" s="60">
        <v>858</v>
      </c>
      <c r="B364" s="61" t="s">
        <v>453</v>
      </c>
      <c r="C364" s="62" t="s">
        <v>454</v>
      </c>
      <c r="D364" s="62" t="s">
        <v>443</v>
      </c>
      <c r="E364" s="60" t="s">
        <v>127</v>
      </c>
      <c r="F364" s="60" t="s">
        <v>87</v>
      </c>
      <c r="G364" s="60" t="s">
        <v>99</v>
      </c>
      <c r="H364" s="60" t="s">
        <v>100</v>
      </c>
      <c r="I364" s="60" t="s">
        <v>101</v>
      </c>
      <c r="J364" s="60" t="s">
        <v>2</v>
      </c>
      <c r="K364" s="60" t="s">
        <v>2</v>
      </c>
      <c r="L364" s="60">
        <v>192</v>
      </c>
      <c r="M364" s="60" t="s">
        <v>87</v>
      </c>
      <c r="N364" s="60">
        <v>8</v>
      </c>
      <c r="O364" s="60" t="s">
        <v>87</v>
      </c>
      <c r="P364" s="60">
        <v>8</v>
      </c>
      <c r="Q364" s="60" t="s">
        <v>92</v>
      </c>
      <c r="R364" s="60" t="s">
        <v>20</v>
      </c>
      <c r="S364" s="60" t="s">
        <v>92</v>
      </c>
      <c r="T364" s="60" t="s">
        <v>92</v>
      </c>
      <c r="U364" s="60" t="s">
        <v>101</v>
      </c>
      <c r="V364" s="60" t="s">
        <v>92</v>
      </c>
      <c r="W364" s="60" t="s">
        <v>101</v>
      </c>
      <c r="X364" s="63" t="s">
        <v>102</v>
      </c>
    </row>
    <row r="365" spans="1:24">
      <c r="A365" s="60">
        <v>1259</v>
      </c>
      <c r="B365" s="61" t="s">
        <v>1681</v>
      </c>
      <c r="C365" s="62" t="s">
        <v>1682</v>
      </c>
      <c r="D365" s="62" t="s">
        <v>1683</v>
      </c>
      <c r="E365" s="60" t="s">
        <v>328</v>
      </c>
      <c r="F365" s="60" t="s">
        <v>87</v>
      </c>
      <c r="G365" s="60" t="s">
        <v>112</v>
      </c>
      <c r="H365" s="60" t="s">
        <v>707</v>
      </c>
      <c r="I365" s="60" t="s">
        <v>90</v>
      </c>
      <c r="J365" s="60" t="s">
        <v>2</v>
      </c>
      <c r="K365" s="60" t="s">
        <v>3</v>
      </c>
      <c r="L365" s="60" t="s">
        <v>87</v>
      </c>
      <c r="M365" s="60">
        <v>12</v>
      </c>
      <c r="N365" s="60" t="s">
        <v>87</v>
      </c>
      <c r="O365" s="60">
        <v>13</v>
      </c>
      <c r="P365" s="60" t="s">
        <v>718</v>
      </c>
      <c r="Q365" s="60" t="s">
        <v>19</v>
      </c>
      <c r="R365" s="60" t="s">
        <v>21</v>
      </c>
      <c r="S365" s="60" t="s">
        <v>23</v>
      </c>
      <c r="T365" s="60" t="s">
        <v>94</v>
      </c>
      <c r="U365" s="60" t="s">
        <v>93</v>
      </c>
      <c r="V365" s="60" t="s">
        <v>92</v>
      </c>
      <c r="W365" s="60" t="s">
        <v>93</v>
      </c>
      <c r="X365" s="63" t="s">
        <v>95</v>
      </c>
    </row>
    <row r="366" spans="1:24">
      <c r="A366" s="60">
        <v>570</v>
      </c>
      <c r="B366" s="61" t="s">
        <v>1684</v>
      </c>
      <c r="C366" s="62" t="s">
        <v>1685</v>
      </c>
      <c r="D366" s="62" t="s">
        <v>281</v>
      </c>
      <c r="E366" s="60" t="s">
        <v>128</v>
      </c>
      <c r="F366" s="60" t="s">
        <v>87</v>
      </c>
      <c r="G366" s="60" t="s">
        <v>142</v>
      </c>
      <c r="H366" s="60" t="s">
        <v>707</v>
      </c>
      <c r="I366" s="60" t="s">
        <v>101</v>
      </c>
      <c r="J366" s="60" t="s">
        <v>2</v>
      </c>
      <c r="K366" s="60" t="s">
        <v>2</v>
      </c>
      <c r="L366" s="60" t="s">
        <v>87</v>
      </c>
      <c r="M366" s="60">
        <v>20</v>
      </c>
      <c r="N366" s="60" t="s">
        <v>87</v>
      </c>
      <c r="O366" s="60">
        <v>9</v>
      </c>
      <c r="P366" s="60" t="s">
        <v>744</v>
      </c>
      <c r="Q366" s="60" t="s">
        <v>92</v>
      </c>
      <c r="R366" s="60" t="s">
        <v>92</v>
      </c>
      <c r="S366" s="60" t="s">
        <v>92</v>
      </c>
      <c r="T366" s="60" t="s">
        <v>94</v>
      </c>
      <c r="U366" s="60" t="s">
        <v>93</v>
      </c>
      <c r="V366" s="60" t="s">
        <v>94</v>
      </c>
      <c r="W366" s="60" t="s">
        <v>90</v>
      </c>
      <c r="X366" s="63" t="s">
        <v>102</v>
      </c>
    </row>
    <row r="367" spans="1:24">
      <c r="A367" s="60">
        <v>937</v>
      </c>
      <c r="B367" s="61" t="s">
        <v>1686</v>
      </c>
      <c r="C367" s="62" t="s">
        <v>455</v>
      </c>
      <c r="D367" s="62" t="s">
        <v>1687</v>
      </c>
      <c r="E367" s="60" t="s">
        <v>146</v>
      </c>
      <c r="F367" s="60" t="s">
        <v>170</v>
      </c>
      <c r="G367" s="60" t="s">
        <v>164</v>
      </c>
      <c r="H367" s="60" t="s">
        <v>707</v>
      </c>
      <c r="I367" s="60" t="s">
        <v>90</v>
      </c>
      <c r="J367" s="60" t="s">
        <v>2</v>
      </c>
      <c r="K367" s="60" t="s">
        <v>2</v>
      </c>
      <c r="L367" s="60" t="s">
        <v>87</v>
      </c>
      <c r="M367" s="60">
        <v>100</v>
      </c>
      <c r="N367" s="60" t="s">
        <v>87</v>
      </c>
      <c r="O367" s="60">
        <v>2</v>
      </c>
      <c r="P367" s="60" t="s">
        <v>807</v>
      </c>
      <c r="Q367" s="60" t="s">
        <v>24</v>
      </c>
      <c r="R367" s="60" t="s">
        <v>21</v>
      </c>
      <c r="S367" s="60" t="s">
        <v>92</v>
      </c>
      <c r="T367" s="60" t="s">
        <v>92</v>
      </c>
      <c r="U367" s="60" t="s">
        <v>101</v>
      </c>
      <c r="V367" s="60" t="s">
        <v>92</v>
      </c>
      <c r="W367" s="60" t="s">
        <v>90</v>
      </c>
      <c r="X367" s="63" t="s">
        <v>95</v>
      </c>
    </row>
    <row r="368" spans="1:24">
      <c r="A368" s="60">
        <v>1215</v>
      </c>
      <c r="B368" s="61" t="s">
        <v>1688</v>
      </c>
      <c r="C368" s="62" t="s">
        <v>455</v>
      </c>
      <c r="D368" s="62" t="s">
        <v>177</v>
      </c>
      <c r="E368" s="60" t="s">
        <v>154</v>
      </c>
      <c r="F368" s="60" t="s">
        <v>170</v>
      </c>
      <c r="G368" s="60" t="s">
        <v>107</v>
      </c>
      <c r="H368" s="60" t="s">
        <v>100</v>
      </c>
      <c r="I368" s="60" t="s">
        <v>90</v>
      </c>
      <c r="J368" s="60" t="s">
        <v>2</v>
      </c>
      <c r="K368" s="60" t="s">
        <v>2</v>
      </c>
      <c r="L368" s="60">
        <v>200</v>
      </c>
      <c r="M368" s="60">
        <v>100</v>
      </c>
      <c r="N368" s="60">
        <v>1</v>
      </c>
      <c r="O368" s="60">
        <v>1</v>
      </c>
      <c r="P368" s="60" t="s">
        <v>255</v>
      </c>
      <c r="Q368" s="60" t="s">
        <v>92</v>
      </c>
      <c r="R368" s="60" t="s">
        <v>20</v>
      </c>
      <c r="S368" s="60" t="s">
        <v>3</v>
      </c>
      <c r="T368" s="60" t="s">
        <v>92</v>
      </c>
      <c r="U368" s="60" t="s">
        <v>101</v>
      </c>
      <c r="V368" s="60" t="s">
        <v>92</v>
      </c>
      <c r="W368" s="60" t="s">
        <v>93</v>
      </c>
      <c r="X368" s="63" t="s">
        <v>95</v>
      </c>
    </row>
    <row r="369" spans="1:24">
      <c r="A369" s="60">
        <v>1051</v>
      </c>
      <c r="B369" s="61" t="s">
        <v>1689</v>
      </c>
      <c r="C369" s="62" t="s">
        <v>1690</v>
      </c>
      <c r="D369" s="62" t="s">
        <v>1691</v>
      </c>
      <c r="E369" s="60" t="s">
        <v>50</v>
      </c>
      <c r="F369" s="60" t="s">
        <v>87</v>
      </c>
      <c r="G369" s="60" t="s">
        <v>150</v>
      </c>
      <c r="H369" s="60" t="s">
        <v>707</v>
      </c>
      <c r="I369" s="60" t="s">
        <v>101</v>
      </c>
      <c r="J369" s="60" t="s">
        <v>2</v>
      </c>
      <c r="K369" s="60" t="s">
        <v>2</v>
      </c>
      <c r="L369" s="60" t="s">
        <v>87</v>
      </c>
      <c r="M369" s="60">
        <v>27</v>
      </c>
      <c r="N369" s="60" t="s">
        <v>87</v>
      </c>
      <c r="O369" s="60">
        <v>4</v>
      </c>
      <c r="P369" s="60" t="s">
        <v>754</v>
      </c>
      <c r="Q369" s="60" t="s">
        <v>92</v>
      </c>
      <c r="R369" s="60" t="s">
        <v>20</v>
      </c>
      <c r="S369" s="60" t="s">
        <v>92</v>
      </c>
      <c r="T369" s="60" t="s">
        <v>94</v>
      </c>
      <c r="U369" s="60" t="s">
        <v>93</v>
      </c>
      <c r="V369" s="60" t="s">
        <v>94</v>
      </c>
      <c r="W369" s="60" t="s">
        <v>93</v>
      </c>
      <c r="X369" s="63" t="s">
        <v>102</v>
      </c>
    </row>
    <row r="370" spans="1:24">
      <c r="A370" s="60">
        <v>480</v>
      </c>
      <c r="B370" s="61" t="s">
        <v>1370</v>
      </c>
      <c r="C370" s="62" t="s">
        <v>1371</v>
      </c>
      <c r="D370" s="62" t="s">
        <v>1372</v>
      </c>
      <c r="E370" s="60" t="s">
        <v>127</v>
      </c>
      <c r="F370" s="60" t="s">
        <v>170</v>
      </c>
      <c r="G370" s="60" t="s">
        <v>107</v>
      </c>
      <c r="H370" s="60" t="s">
        <v>707</v>
      </c>
      <c r="I370" s="60" t="s">
        <v>101</v>
      </c>
      <c r="J370" s="60" t="s">
        <v>2</v>
      </c>
      <c r="K370" s="60" t="s">
        <v>2</v>
      </c>
      <c r="L370" s="60" t="s">
        <v>87</v>
      </c>
      <c r="M370" s="60">
        <v>100</v>
      </c>
      <c r="N370" s="60" t="s">
        <v>87</v>
      </c>
      <c r="O370" s="60">
        <v>1</v>
      </c>
      <c r="P370" s="60" t="s">
        <v>729</v>
      </c>
      <c r="Q370" s="60" t="s">
        <v>92</v>
      </c>
      <c r="R370" s="60" t="s">
        <v>21</v>
      </c>
      <c r="S370" s="60" t="s">
        <v>92</v>
      </c>
      <c r="T370" s="60" t="s">
        <v>94</v>
      </c>
      <c r="U370" s="60" t="s">
        <v>108</v>
      </c>
      <c r="V370" s="60" t="s">
        <v>92</v>
      </c>
      <c r="W370" s="60" t="s">
        <v>90</v>
      </c>
      <c r="X370" s="63" t="s">
        <v>102</v>
      </c>
    </row>
    <row r="371" spans="1:24">
      <c r="A371" s="60">
        <v>527</v>
      </c>
      <c r="B371" s="61" t="s">
        <v>457</v>
      </c>
      <c r="C371" s="62" t="s">
        <v>458</v>
      </c>
      <c r="D371" s="62" t="s">
        <v>319</v>
      </c>
      <c r="E371" s="60" t="s">
        <v>141</v>
      </c>
      <c r="F371" s="60" t="s">
        <v>87</v>
      </c>
      <c r="G371" s="60" t="s">
        <v>142</v>
      </c>
      <c r="H371" s="60" t="s">
        <v>100</v>
      </c>
      <c r="I371" s="60" t="s">
        <v>90</v>
      </c>
      <c r="J371" s="60" t="s">
        <v>3</v>
      </c>
      <c r="K371" s="60" t="s">
        <v>3</v>
      </c>
      <c r="L371" s="60">
        <v>205</v>
      </c>
      <c r="M371" s="60" t="s">
        <v>87</v>
      </c>
      <c r="N371" s="60">
        <v>10</v>
      </c>
      <c r="O371" s="60" t="s">
        <v>87</v>
      </c>
      <c r="P371" s="60">
        <v>10</v>
      </c>
      <c r="Q371" s="60" t="s">
        <v>19</v>
      </c>
      <c r="R371" s="60" t="s">
        <v>20</v>
      </c>
      <c r="S371" s="60" t="s">
        <v>92</v>
      </c>
      <c r="T371" s="60" t="s">
        <v>94</v>
      </c>
      <c r="U371" s="60" t="s">
        <v>108</v>
      </c>
      <c r="V371" s="60" t="s">
        <v>92</v>
      </c>
      <c r="W371" s="60" t="s">
        <v>93</v>
      </c>
      <c r="X371" s="63" t="s">
        <v>95</v>
      </c>
    </row>
    <row r="372" spans="1:24">
      <c r="A372" s="60">
        <v>406</v>
      </c>
      <c r="B372" s="61" t="s">
        <v>1228</v>
      </c>
      <c r="C372" s="62" t="s">
        <v>1229</v>
      </c>
      <c r="D372" s="62" t="s">
        <v>1230</v>
      </c>
      <c r="E372" s="60" t="s">
        <v>249</v>
      </c>
      <c r="F372" s="60" t="s">
        <v>87</v>
      </c>
      <c r="G372" s="60" t="s">
        <v>376</v>
      </c>
      <c r="H372" s="60" t="s">
        <v>100</v>
      </c>
      <c r="I372" s="60" t="s">
        <v>90</v>
      </c>
      <c r="J372" s="60" t="s">
        <v>2</v>
      </c>
      <c r="K372" s="60" t="s">
        <v>2</v>
      </c>
      <c r="L372" s="60">
        <v>205</v>
      </c>
      <c r="M372" s="60" t="s">
        <v>87</v>
      </c>
      <c r="N372" s="60">
        <v>7</v>
      </c>
      <c r="O372" s="60" t="s">
        <v>87</v>
      </c>
      <c r="P372" s="60">
        <v>7</v>
      </c>
      <c r="Q372" s="60" t="s">
        <v>92</v>
      </c>
      <c r="R372" s="60" t="s">
        <v>20</v>
      </c>
      <c r="S372" s="60" t="s">
        <v>92</v>
      </c>
      <c r="T372" s="60" t="s">
        <v>94</v>
      </c>
      <c r="U372" s="60" t="s">
        <v>101</v>
      </c>
      <c r="V372" s="60" t="s">
        <v>92</v>
      </c>
      <c r="W372" s="60" t="s">
        <v>93</v>
      </c>
      <c r="X372" s="63" t="s">
        <v>95</v>
      </c>
    </row>
    <row r="373" spans="1:24">
      <c r="A373" s="60">
        <v>630</v>
      </c>
      <c r="B373" s="61" t="s">
        <v>1692</v>
      </c>
      <c r="C373" s="62" t="s">
        <v>1693</v>
      </c>
      <c r="D373" s="62" t="s">
        <v>674</v>
      </c>
      <c r="E373" s="60" t="s">
        <v>154</v>
      </c>
      <c r="F373" s="60" t="s">
        <v>87</v>
      </c>
      <c r="G373" s="60" t="s">
        <v>164</v>
      </c>
      <c r="H373" s="60" t="s">
        <v>707</v>
      </c>
      <c r="I373" s="60" t="s">
        <v>101</v>
      </c>
      <c r="J373" s="60" t="s">
        <v>3</v>
      </c>
      <c r="K373" s="60" t="s">
        <v>3</v>
      </c>
      <c r="L373" s="60" t="s">
        <v>87</v>
      </c>
      <c r="M373" s="60">
        <v>30</v>
      </c>
      <c r="N373" s="60" t="s">
        <v>87</v>
      </c>
      <c r="O373" s="60">
        <v>4</v>
      </c>
      <c r="P373" s="60" t="s">
        <v>754</v>
      </c>
      <c r="Q373" s="60" t="s">
        <v>19</v>
      </c>
      <c r="R373" s="60" t="s">
        <v>20</v>
      </c>
      <c r="S373" s="60" t="s">
        <v>92</v>
      </c>
      <c r="T373" s="60" t="s">
        <v>94</v>
      </c>
      <c r="U373" s="60" t="s">
        <v>108</v>
      </c>
      <c r="V373" s="60" t="s">
        <v>94</v>
      </c>
      <c r="W373" s="60" t="s">
        <v>93</v>
      </c>
      <c r="X373" s="63" t="s">
        <v>102</v>
      </c>
    </row>
    <row r="374" spans="1:24">
      <c r="A374" s="60">
        <v>862</v>
      </c>
      <c r="B374" s="61" t="s">
        <v>459</v>
      </c>
      <c r="C374" s="62" t="s">
        <v>460</v>
      </c>
      <c r="D374" s="62" t="s">
        <v>401</v>
      </c>
      <c r="E374" s="60" t="s">
        <v>190</v>
      </c>
      <c r="F374" s="60" t="s">
        <v>87</v>
      </c>
      <c r="G374" s="60" t="s">
        <v>142</v>
      </c>
      <c r="H374" s="60" t="s">
        <v>100</v>
      </c>
      <c r="I374" s="60" t="s">
        <v>101</v>
      </c>
      <c r="J374" s="60" t="s">
        <v>3</v>
      </c>
      <c r="K374" s="60" t="s">
        <v>2</v>
      </c>
      <c r="L374" s="60">
        <v>77</v>
      </c>
      <c r="M374" s="60" t="s">
        <v>87</v>
      </c>
      <c r="N374" s="60">
        <v>8</v>
      </c>
      <c r="O374" s="60" t="s">
        <v>87</v>
      </c>
      <c r="P374" s="60">
        <v>8</v>
      </c>
      <c r="Q374" s="60" t="s">
        <v>92</v>
      </c>
      <c r="R374" s="60" t="s">
        <v>21</v>
      </c>
      <c r="S374" s="60" t="s">
        <v>92</v>
      </c>
      <c r="T374" s="60" t="s">
        <v>94</v>
      </c>
      <c r="U374" s="60" t="s">
        <v>108</v>
      </c>
      <c r="V374" s="60" t="s">
        <v>92</v>
      </c>
      <c r="W374" s="60" t="s">
        <v>93</v>
      </c>
      <c r="X374" s="63" t="s">
        <v>102</v>
      </c>
    </row>
    <row r="375" spans="1:24">
      <c r="A375" s="60">
        <v>1030</v>
      </c>
      <c r="B375" s="61" t="s">
        <v>1694</v>
      </c>
      <c r="C375" s="62" t="s">
        <v>1695</v>
      </c>
      <c r="D375" s="62" t="s">
        <v>654</v>
      </c>
      <c r="E375" s="60" t="s">
        <v>408</v>
      </c>
      <c r="F375" s="60" t="s">
        <v>87</v>
      </c>
      <c r="G375" s="60" t="s">
        <v>147</v>
      </c>
      <c r="H375" s="60" t="s">
        <v>707</v>
      </c>
      <c r="I375" s="60" t="s">
        <v>90</v>
      </c>
      <c r="J375" s="60" t="s">
        <v>3</v>
      </c>
      <c r="K375" s="60" t="s">
        <v>3</v>
      </c>
      <c r="L375" s="60" t="s">
        <v>87</v>
      </c>
      <c r="M375" s="60">
        <v>7</v>
      </c>
      <c r="N375" s="60" t="s">
        <v>87</v>
      </c>
      <c r="O375" s="60">
        <v>4</v>
      </c>
      <c r="P375" s="60" t="s">
        <v>754</v>
      </c>
      <c r="Q375" s="60" t="s">
        <v>24</v>
      </c>
      <c r="R375" s="60" t="s">
        <v>21</v>
      </c>
      <c r="S375" s="60" t="s">
        <v>38</v>
      </c>
      <c r="T375" s="60" t="s">
        <v>94</v>
      </c>
      <c r="U375" s="60" t="s">
        <v>90</v>
      </c>
      <c r="V375" s="60" t="s">
        <v>94</v>
      </c>
      <c r="W375" s="60" t="s">
        <v>93</v>
      </c>
      <c r="X375" s="63" t="s">
        <v>95</v>
      </c>
    </row>
    <row r="376" spans="1:24">
      <c r="A376" s="60">
        <v>767</v>
      </c>
      <c r="B376" s="61" t="s">
        <v>461</v>
      </c>
      <c r="C376" s="62" t="s">
        <v>462</v>
      </c>
      <c r="D376" s="62" t="s">
        <v>463</v>
      </c>
      <c r="E376" s="60" t="s">
        <v>194</v>
      </c>
      <c r="F376" s="60" t="s">
        <v>87</v>
      </c>
      <c r="G376" s="60" t="s">
        <v>142</v>
      </c>
      <c r="H376" s="60" t="s">
        <v>100</v>
      </c>
      <c r="I376" s="60" t="s">
        <v>101</v>
      </c>
      <c r="J376" s="60" t="s">
        <v>3</v>
      </c>
      <c r="K376" s="60" t="s">
        <v>3</v>
      </c>
      <c r="L376" s="60">
        <v>187</v>
      </c>
      <c r="M376" s="60" t="s">
        <v>87</v>
      </c>
      <c r="N376" s="60">
        <v>12</v>
      </c>
      <c r="O376" s="60" t="s">
        <v>87</v>
      </c>
      <c r="P376" s="60">
        <v>12</v>
      </c>
      <c r="Q376" s="60" t="s">
        <v>19</v>
      </c>
      <c r="R376" s="60" t="s">
        <v>92</v>
      </c>
      <c r="S376" s="60" t="s">
        <v>92</v>
      </c>
      <c r="T376" s="60" t="s">
        <v>92</v>
      </c>
      <c r="U376" s="60" t="s">
        <v>108</v>
      </c>
      <c r="V376" s="60" t="s">
        <v>92</v>
      </c>
      <c r="W376" s="60" t="s">
        <v>93</v>
      </c>
      <c r="X376" s="63" t="s">
        <v>102</v>
      </c>
    </row>
    <row r="377" spans="1:24">
      <c r="A377" s="60">
        <v>1287</v>
      </c>
      <c r="B377" s="61" t="s">
        <v>1696</v>
      </c>
      <c r="C377" s="62" t="s">
        <v>1697</v>
      </c>
      <c r="D377" s="62" t="s">
        <v>1698</v>
      </c>
      <c r="E377" s="60" t="s">
        <v>194</v>
      </c>
      <c r="F377" s="60" t="s">
        <v>87</v>
      </c>
      <c r="G377" s="60" t="s">
        <v>142</v>
      </c>
      <c r="H377" s="60" t="s">
        <v>707</v>
      </c>
      <c r="I377" s="60" t="s">
        <v>90</v>
      </c>
      <c r="J377" s="60" t="s">
        <v>2</v>
      </c>
      <c r="K377" s="60" t="s">
        <v>2</v>
      </c>
      <c r="L377" s="60" t="s">
        <v>87</v>
      </c>
      <c r="M377" s="60">
        <v>24</v>
      </c>
      <c r="N377" s="60" t="s">
        <v>87</v>
      </c>
      <c r="O377" s="60">
        <v>6</v>
      </c>
      <c r="P377" s="60" t="s">
        <v>740</v>
      </c>
      <c r="Q377" s="60" t="s">
        <v>19</v>
      </c>
      <c r="R377" s="60" t="s">
        <v>21</v>
      </c>
      <c r="S377" s="60" t="s">
        <v>3</v>
      </c>
      <c r="T377" s="60" t="s">
        <v>94</v>
      </c>
      <c r="U377" s="60" t="s">
        <v>108</v>
      </c>
      <c r="V377" s="60" t="s">
        <v>92</v>
      </c>
      <c r="W377" s="60" t="s">
        <v>90</v>
      </c>
      <c r="X377" s="63" t="s">
        <v>95</v>
      </c>
    </row>
    <row r="378" spans="1:24">
      <c r="A378" s="60">
        <v>141</v>
      </c>
      <c r="B378" s="61" t="s">
        <v>1373</v>
      </c>
      <c r="C378" s="62" t="s">
        <v>1374</v>
      </c>
      <c r="D378" s="62" t="s">
        <v>331</v>
      </c>
      <c r="E378" s="60" t="s">
        <v>111</v>
      </c>
      <c r="F378" s="60" t="s">
        <v>87</v>
      </c>
      <c r="G378" s="60" t="s">
        <v>117</v>
      </c>
      <c r="H378" s="60" t="s">
        <v>100</v>
      </c>
      <c r="I378" s="60" t="s">
        <v>101</v>
      </c>
      <c r="J378" s="60" t="s">
        <v>3</v>
      </c>
      <c r="K378" s="60" t="s">
        <v>3</v>
      </c>
      <c r="L378" s="60">
        <v>59</v>
      </c>
      <c r="M378" s="60">
        <v>5</v>
      </c>
      <c r="N378" s="60">
        <v>3</v>
      </c>
      <c r="O378" s="60" t="s">
        <v>108</v>
      </c>
      <c r="P378" s="60" t="s">
        <v>134</v>
      </c>
      <c r="Q378" s="60" t="s">
        <v>92</v>
      </c>
      <c r="R378" s="60" t="s">
        <v>92</v>
      </c>
      <c r="S378" s="60" t="s">
        <v>92</v>
      </c>
      <c r="T378" s="60" t="s">
        <v>92</v>
      </c>
      <c r="U378" s="60" t="s">
        <v>101</v>
      </c>
      <c r="V378" s="60" t="s">
        <v>94</v>
      </c>
      <c r="W378" s="60" t="s">
        <v>90</v>
      </c>
      <c r="X378" s="63" t="s">
        <v>102</v>
      </c>
    </row>
    <row r="379" spans="1:24">
      <c r="A379" s="60">
        <v>769</v>
      </c>
      <c r="B379" s="61" t="s">
        <v>464</v>
      </c>
      <c r="C379" s="62" t="s">
        <v>465</v>
      </c>
      <c r="D379" s="62" t="s">
        <v>311</v>
      </c>
      <c r="E379" s="60" t="s">
        <v>194</v>
      </c>
      <c r="F379" s="60" t="s">
        <v>87</v>
      </c>
      <c r="G379" s="60" t="s">
        <v>99</v>
      </c>
      <c r="H379" s="60" t="s">
        <v>100</v>
      </c>
      <c r="I379" s="60" t="s">
        <v>101</v>
      </c>
      <c r="J379" s="60" t="s">
        <v>3</v>
      </c>
      <c r="K379" s="60" t="s">
        <v>3</v>
      </c>
      <c r="L379" s="60">
        <v>169</v>
      </c>
      <c r="M379" s="60" t="s">
        <v>87</v>
      </c>
      <c r="N379" s="60">
        <v>4</v>
      </c>
      <c r="O379" s="60" t="s">
        <v>87</v>
      </c>
      <c r="P379" s="60">
        <v>4</v>
      </c>
      <c r="Q379" s="60" t="s">
        <v>92</v>
      </c>
      <c r="R379" s="60" t="s">
        <v>92</v>
      </c>
      <c r="S379" s="60" t="s">
        <v>92</v>
      </c>
      <c r="T379" s="60" t="s">
        <v>94</v>
      </c>
      <c r="U379" s="60" t="s">
        <v>101</v>
      </c>
      <c r="V379" s="60" t="s">
        <v>92</v>
      </c>
      <c r="W379" s="60" t="s">
        <v>90</v>
      </c>
      <c r="X379" s="63" t="s">
        <v>102</v>
      </c>
    </row>
    <row r="380" spans="1:24">
      <c r="A380" s="60">
        <v>748</v>
      </c>
      <c r="B380" s="61" t="s">
        <v>1699</v>
      </c>
      <c r="C380" s="62" t="s">
        <v>1700</v>
      </c>
      <c r="D380" s="62" t="s">
        <v>674</v>
      </c>
      <c r="E380" s="60" t="s">
        <v>226</v>
      </c>
      <c r="F380" s="60" t="s">
        <v>170</v>
      </c>
      <c r="G380" s="60" t="s">
        <v>142</v>
      </c>
      <c r="H380" s="60" t="s">
        <v>707</v>
      </c>
      <c r="I380" s="60" t="s">
        <v>90</v>
      </c>
      <c r="J380" s="60" t="s">
        <v>3</v>
      </c>
      <c r="K380" s="60" t="s">
        <v>3</v>
      </c>
      <c r="L380" s="60" t="s">
        <v>87</v>
      </c>
      <c r="M380" s="60">
        <v>100</v>
      </c>
      <c r="N380" s="60" t="s">
        <v>87</v>
      </c>
      <c r="O380" s="60">
        <v>2</v>
      </c>
      <c r="P380" s="60" t="s">
        <v>807</v>
      </c>
      <c r="Q380" s="60" t="s">
        <v>19</v>
      </c>
      <c r="R380" s="60" t="s">
        <v>21</v>
      </c>
      <c r="S380" s="60" t="s">
        <v>3</v>
      </c>
      <c r="T380" s="60" t="s">
        <v>94</v>
      </c>
      <c r="U380" s="60" t="s">
        <v>108</v>
      </c>
      <c r="V380" s="60" t="s">
        <v>92</v>
      </c>
      <c r="W380" s="60" t="s">
        <v>90</v>
      </c>
      <c r="X380" s="63" t="s">
        <v>95</v>
      </c>
    </row>
    <row r="381" spans="1:24">
      <c r="A381" s="60">
        <v>595</v>
      </c>
      <c r="B381" s="61" t="s">
        <v>980</v>
      </c>
      <c r="C381" s="62" t="s">
        <v>981</v>
      </c>
      <c r="D381" s="62" t="s">
        <v>982</v>
      </c>
      <c r="E381" s="60" t="s">
        <v>163</v>
      </c>
      <c r="F381" s="60" t="s">
        <v>87</v>
      </c>
      <c r="G381" s="60" t="s">
        <v>88</v>
      </c>
      <c r="H381" s="60" t="s">
        <v>707</v>
      </c>
      <c r="I381" s="60" t="s">
        <v>90</v>
      </c>
      <c r="J381" s="60" t="s">
        <v>2</v>
      </c>
      <c r="K381" s="60" t="s">
        <v>3</v>
      </c>
      <c r="L381" s="60" t="s">
        <v>87</v>
      </c>
      <c r="M381" s="60">
        <v>36</v>
      </c>
      <c r="N381" s="60" t="s">
        <v>87</v>
      </c>
      <c r="O381" s="60">
        <v>6</v>
      </c>
      <c r="P381" s="60" t="s">
        <v>740</v>
      </c>
      <c r="Q381" s="60" t="s">
        <v>19</v>
      </c>
      <c r="R381" s="60" t="s">
        <v>21</v>
      </c>
      <c r="S381" s="60" t="s">
        <v>92</v>
      </c>
      <c r="T381" s="60" t="s">
        <v>94</v>
      </c>
      <c r="U381" s="60" t="s">
        <v>108</v>
      </c>
      <c r="V381" s="60" t="s">
        <v>92</v>
      </c>
      <c r="W381" s="60" t="s">
        <v>93</v>
      </c>
      <c r="X381" s="63" t="s">
        <v>95</v>
      </c>
    </row>
    <row r="382" spans="1:24">
      <c r="A382" s="60">
        <v>678</v>
      </c>
      <c r="B382" s="61" t="s">
        <v>466</v>
      </c>
      <c r="C382" s="62" t="s">
        <v>467</v>
      </c>
      <c r="D382" s="62" t="s">
        <v>331</v>
      </c>
      <c r="E382" s="60" t="s">
        <v>42</v>
      </c>
      <c r="F382" s="60" t="s">
        <v>170</v>
      </c>
      <c r="G382" s="60" t="s">
        <v>129</v>
      </c>
      <c r="H382" s="60" t="s">
        <v>100</v>
      </c>
      <c r="I382" s="60" t="s">
        <v>101</v>
      </c>
      <c r="J382" s="60" t="s">
        <v>2</v>
      </c>
      <c r="K382" s="60" t="s">
        <v>2</v>
      </c>
      <c r="L382" s="60">
        <v>200</v>
      </c>
      <c r="M382" s="60">
        <v>100</v>
      </c>
      <c r="N382" s="60">
        <v>2</v>
      </c>
      <c r="O382" s="60">
        <v>1</v>
      </c>
      <c r="P382" s="60" t="s">
        <v>172</v>
      </c>
      <c r="Q382" s="60" t="s">
        <v>92</v>
      </c>
      <c r="R382" s="60" t="s">
        <v>92</v>
      </c>
      <c r="S382" s="60" t="s">
        <v>3</v>
      </c>
      <c r="T382" s="60" t="s">
        <v>94</v>
      </c>
      <c r="U382" s="60" t="s">
        <v>101</v>
      </c>
      <c r="V382" s="60" t="s">
        <v>92</v>
      </c>
      <c r="W382" s="60" t="s">
        <v>101</v>
      </c>
      <c r="X382" s="63" t="s">
        <v>102</v>
      </c>
    </row>
    <row r="383" spans="1:24">
      <c r="A383" s="60">
        <v>863</v>
      </c>
      <c r="B383" s="61" t="s">
        <v>983</v>
      </c>
      <c r="C383" s="62" t="s">
        <v>984</v>
      </c>
      <c r="D383" s="62" t="s">
        <v>985</v>
      </c>
      <c r="E383" s="60" t="s">
        <v>190</v>
      </c>
      <c r="F383" s="60" t="s">
        <v>87</v>
      </c>
      <c r="G383" s="60" t="s">
        <v>402</v>
      </c>
      <c r="H383" s="60" t="s">
        <v>707</v>
      </c>
      <c r="I383" s="60" t="s">
        <v>101</v>
      </c>
      <c r="J383" s="60" t="s">
        <v>3</v>
      </c>
      <c r="K383" s="60" t="s">
        <v>3</v>
      </c>
      <c r="L383" s="60" t="s">
        <v>87</v>
      </c>
      <c r="M383" s="60">
        <v>40</v>
      </c>
      <c r="N383" s="60" t="s">
        <v>87</v>
      </c>
      <c r="O383" s="60">
        <v>19</v>
      </c>
      <c r="P383" s="60" t="s">
        <v>770</v>
      </c>
      <c r="Q383" s="60" t="s">
        <v>92</v>
      </c>
      <c r="R383" s="60" t="s">
        <v>92</v>
      </c>
      <c r="S383" s="60" t="s">
        <v>23</v>
      </c>
      <c r="T383" s="60" t="s">
        <v>94</v>
      </c>
      <c r="U383" s="60" t="s">
        <v>101</v>
      </c>
      <c r="V383" s="60" t="s">
        <v>94</v>
      </c>
      <c r="W383" s="60" t="s">
        <v>93</v>
      </c>
      <c r="X383" s="63" t="s">
        <v>102</v>
      </c>
    </row>
    <row r="384" spans="1:24">
      <c r="A384" s="60">
        <v>1241</v>
      </c>
      <c r="B384" s="61" t="s">
        <v>1701</v>
      </c>
      <c r="C384" s="62" t="s">
        <v>984</v>
      </c>
      <c r="D384" s="62" t="s">
        <v>253</v>
      </c>
      <c r="E384" s="60" t="s">
        <v>42</v>
      </c>
      <c r="F384" s="60" t="s">
        <v>87</v>
      </c>
      <c r="G384" s="60" t="s">
        <v>147</v>
      </c>
      <c r="H384" s="60" t="s">
        <v>100</v>
      </c>
      <c r="I384" s="60" t="s">
        <v>90</v>
      </c>
      <c r="J384" s="60" t="s">
        <v>2</v>
      </c>
      <c r="K384" s="60" t="s">
        <v>2</v>
      </c>
      <c r="L384" s="60">
        <v>10</v>
      </c>
      <c r="M384" s="60" t="s">
        <v>87</v>
      </c>
      <c r="N384" s="60">
        <v>3</v>
      </c>
      <c r="O384" s="60" t="s">
        <v>87</v>
      </c>
      <c r="P384" s="60">
        <v>3</v>
      </c>
      <c r="Q384" s="60" t="s">
        <v>22</v>
      </c>
      <c r="R384" s="60" t="s">
        <v>21</v>
      </c>
      <c r="S384" s="60" t="s">
        <v>37</v>
      </c>
      <c r="T384" s="60" t="s">
        <v>94</v>
      </c>
      <c r="U384" s="60" t="s">
        <v>108</v>
      </c>
      <c r="V384" s="60" t="s">
        <v>92</v>
      </c>
      <c r="W384" s="60" t="s">
        <v>90</v>
      </c>
      <c r="X384" s="63" t="s">
        <v>95</v>
      </c>
    </row>
    <row r="385" spans="1:24">
      <c r="A385" s="60">
        <v>556</v>
      </c>
      <c r="B385" s="61" t="s">
        <v>1702</v>
      </c>
      <c r="C385" s="62" t="s">
        <v>1703</v>
      </c>
      <c r="D385" s="62" t="s">
        <v>299</v>
      </c>
      <c r="E385" s="60" t="s">
        <v>128</v>
      </c>
      <c r="F385" s="60" t="s">
        <v>87</v>
      </c>
      <c r="G385" s="60" t="s">
        <v>107</v>
      </c>
      <c r="H385" s="60" t="s">
        <v>100</v>
      </c>
      <c r="I385" s="60" t="s">
        <v>101</v>
      </c>
      <c r="J385" s="60" t="s">
        <v>2</v>
      </c>
      <c r="K385" s="60" t="s">
        <v>2</v>
      </c>
      <c r="L385" s="60">
        <v>106</v>
      </c>
      <c r="M385" s="60">
        <v>8</v>
      </c>
      <c r="N385" s="60">
        <v>4</v>
      </c>
      <c r="O385" s="60" t="s">
        <v>118</v>
      </c>
      <c r="P385" s="60" t="s">
        <v>174</v>
      </c>
      <c r="Q385" s="60" t="s">
        <v>92</v>
      </c>
      <c r="R385" s="60" t="s">
        <v>21</v>
      </c>
      <c r="S385" s="60" t="s">
        <v>3</v>
      </c>
      <c r="T385" s="60" t="s">
        <v>94</v>
      </c>
      <c r="U385" s="60" t="s">
        <v>108</v>
      </c>
      <c r="V385" s="60" t="s">
        <v>92</v>
      </c>
      <c r="W385" s="60" t="s">
        <v>90</v>
      </c>
      <c r="X385" s="63" t="s">
        <v>102</v>
      </c>
    </row>
    <row r="386" spans="1:24">
      <c r="A386" s="60">
        <v>443</v>
      </c>
      <c r="B386" s="61" t="s">
        <v>986</v>
      </c>
      <c r="C386" s="62" t="s">
        <v>987</v>
      </c>
      <c r="D386" s="62" t="s">
        <v>375</v>
      </c>
      <c r="E386" s="60" t="s">
        <v>186</v>
      </c>
      <c r="F386" s="60" t="s">
        <v>87</v>
      </c>
      <c r="G386" s="60" t="s">
        <v>99</v>
      </c>
      <c r="H386" s="60" t="s">
        <v>707</v>
      </c>
      <c r="I386" s="60" t="s">
        <v>90</v>
      </c>
      <c r="J386" s="60" t="s">
        <v>3</v>
      </c>
      <c r="K386" s="60" t="s">
        <v>3</v>
      </c>
      <c r="L386" s="60" t="s">
        <v>87</v>
      </c>
      <c r="M386" s="60">
        <v>43</v>
      </c>
      <c r="N386" s="60" t="s">
        <v>87</v>
      </c>
      <c r="O386" s="60">
        <v>4</v>
      </c>
      <c r="P386" s="60" t="s">
        <v>754</v>
      </c>
      <c r="Q386" s="60" t="s">
        <v>19</v>
      </c>
      <c r="R386" s="60" t="s">
        <v>20</v>
      </c>
      <c r="S386" s="60" t="s">
        <v>3</v>
      </c>
      <c r="T386" s="60" t="s">
        <v>94</v>
      </c>
      <c r="U386" s="60" t="s">
        <v>93</v>
      </c>
      <c r="V386" s="60" t="s">
        <v>92</v>
      </c>
      <c r="W386" s="60" t="s">
        <v>93</v>
      </c>
      <c r="X386" s="63" t="s">
        <v>95</v>
      </c>
    </row>
    <row r="387" spans="1:24">
      <c r="A387" s="60">
        <v>445</v>
      </c>
      <c r="B387" s="61" t="s">
        <v>989</v>
      </c>
      <c r="C387" s="62" t="s">
        <v>988</v>
      </c>
      <c r="D387" s="62" t="s">
        <v>185</v>
      </c>
      <c r="E387" s="60" t="s">
        <v>127</v>
      </c>
      <c r="F387" s="60" t="s">
        <v>87</v>
      </c>
      <c r="G387" s="60" t="s">
        <v>171</v>
      </c>
      <c r="H387" s="60" t="s">
        <v>707</v>
      </c>
      <c r="I387" s="60" t="s">
        <v>101</v>
      </c>
      <c r="J387" s="60" t="s">
        <v>3</v>
      </c>
      <c r="K387" s="60" t="s">
        <v>2</v>
      </c>
      <c r="L387" s="60" t="s">
        <v>87</v>
      </c>
      <c r="M387" s="60">
        <v>55</v>
      </c>
      <c r="N387" s="60" t="s">
        <v>87</v>
      </c>
      <c r="O387" s="60">
        <v>18</v>
      </c>
      <c r="P387" s="60" t="s">
        <v>758</v>
      </c>
      <c r="Q387" s="60" t="s">
        <v>24</v>
      </c>
      <c r="R387" s="60" t="s">
        <v>20</v>
      </c>
      <c r="S387" s="60" t="s">
        <v>37</v>
      </c>
      <c r="T387" s="60" t="s">
        <v>94</v>
      </c>
      <c r="U387" s="60" t="s">
        <v>108</v>
      </c>
      <c r="V387" s="60" t="s">
        <v>92</v>
      </c>
      <c r="W387" s="60" t="s">
        <v>108</v>
      </c>
      <c r="X387" s="63" t="s">
        <v>102</v>
      </c>
    </row>
    <row r="388" spans="1:24">
      <c r="A388" s="60">
        <v>1058</v>
      </c>
      <c r="B388" s="61" t="s">
        <v>990</v>
      </c>
      <c r="C388" s="62" t="s">
        <v>991</v>
      </c>
      <c r="D388" s="62" t="s">
        <v>380</v>
      </c>
      <c r="E388" s="60" t="s">
        <v>152</v>
      </c>
      <c r="F388" s="60" t="s">
        <v>170</v>
      </c>
      <c r="G388" s="60" t="s">
        <v>164</v>
      </c>
      <c r="H388" s="60" t="s">
        <v>707</v>
      </c>
      <c r="I388" s="60" t="s">
        <v>101</v>
      </c>
      <c r="J388" s="60" t="s">
        <v>3</v>
      </c>
      <c r="K388" s="60" t="s">
        <v>3</v>
      </c>
      <c r="L388" s="60" t="s">
        <v>87</v>
      </c>
      <c r="M388" s="60">
        <v>100</v>
      </c>
      <c r="N388" s="60" t="s">
        <v>87</v>
      </c>
      <c r="O388" s="60">
        <v>2</v>
      </c>
      <c r="P388" s="60" t="s">
        <v>807</v>
      </c>
      <c r="Q388" s="60" t="s">
        <v>19</v>
      </c>
      <c r="R388" s="60" t="s">
        <v>21</v>
      </c>
      <c r="S388" s="60" t="s">
        <v>92</v>
      </c>
      <c r="T388" s="60" t="s">
        <v>92</v>
      </c>
      <c r="U388" s="60" t="s">
        <v>101</v>
      </c>
      <c r="V388" s="60" t="s">
        <v>92</v>
      </c>
      <c r="W388" s="60" t="s">
        <v>90</v>
      </c>
      <c r="X388" s="63" t="s">
        <v>102</v>
      </c>
    </row>
    <row r="389" spans="1:24">
      <c r="A389" s="60">
        <v>1186</v>
      </c>
      <c r="B389" s="61" t="s">
        <v>468</v>
      </c>
      <c r="C389" s="62" t="s">
        <v>469</v>
      </c>
      <c r="D389" s="62" t="s">
        <v>470</v>
      </c>
      <c r="E389" s="60" t="s">
        <v>163</v>
      </c>
      <c r="F389" s="60" t="s">
        <v>87</v>
      </c>
      <c r="G389" s="60" t="s">
        <v>112</v>
      </c>
      <c r="H389" s="60" t="s">
        <v>100</v>
      </c>
      <c r="I389" s="60" t="s">
        <v>90</v>
      </c>
      <c r="J389" s="60" t="s">
        <v>2</v>
      </c>
      <c r="K389" s="60" t="s">
        <v>2</v>
      </c>
      <c r="L389" s="60">
        <v>49</v>
      </c>
      <c r="M389" s="60" t="s">
        <v>87</v>
      </c>
      <c r="N389" s="60">
        <v>4</v>
      </c>
      <c r="O389" s="60" t="s">
        <v>87</v>
      </c>
      <c r="P389" s="60">
        <v>4</v>
      </c>
      <c r="Q389" s="60" t="s">
        <v>92</v>
      </c>
      <c r="R389" s="60" t="s">
        <v>92</v>
      </c>
      <c r="S389" s="60" t="s">
        <v>23</v>
      </c>
      <c r="T389" s="60" t="s">
        <v>94</v>
      </c>
      <c r="U389" s="60" t="s">
        <v>108</v>
      </c>
      <c r="V389" s="60" t="s">
        <v>92</v>
      </c>
      <c r="W389" s="60" t="s">
        <v>93</v>
      </c>
      <c r="X389" s="63" t="s">
        <v>95</v>
      </c>
    </row>
    <row r="390" spans="1:24">
      <c r="A390" s="60">
        <v>797</v>
      </c>
      <c r="B390" s="61" t="s">
        <v>471</v>
      </c>
      <c r="C390" s="62" t="s">
        <v>472</v>
      </c>
      <c r="D390" s="62" t="s">
        <v>473</v>
      </c>
      <c r="E390" s="60" t="s">
        <v>318</v>
      </c>
      <c r="F390" s="60" t="s">
        <v>87</v>
      </c>
      <c r="G390" s="60" t="s">
        <v>164</v>
      </c>
      <c r="H390" s="60" t="s">
        <v>100</v>
      </c>
      <c r="I390" s="60" t="s">
        <v>90</v>
      </c>
      <c r="J390" s="60" t="s">
        <v>2</v>
      </c>
      <c r="K390" s="60" t="s">
        <v>2</v>
      </c>
      <c r="L390" s="60">
        <v>176</v>
      </c>
      <c r="M390" s="60" t="s">
        <v>87</v>
      </c>
      <c r="N390" s="60">
        <v>12</v>
      </c>
      <c r="O390" s="60" t="s">
        <v>87</v>
      </c>
      <c r="P390" s="60">
        <v>12</v>
      </c>
      <c r="Q390" s="60" t="s">
        <v>22</v>
      </c>
      <c r="R390" s="60" t="s">
        <v>92</v>
      </c>
      <c r="S390" s="60" t="s">
        <v>37</v>
      </c>
      <c r="T390" s="60" t="s">
        <v>94</v>
      </c>
      <c r="U390" s="60" t="s">
        <v>90</v>
      </c>
      <c r="V390" s="60" t="s">
        <v>92</v>
      </c>
      <c r="W390" s="60" t="s">
        <v>90</v>
      </c>
      <c r="X390" s="63" t="s">
        <v>95</v>
      </c>
    </row>
    <row r="391" spans="1:24">
      <c r="A391" s="60">
        <v>801</v>
      </c>
      <c r="B391" s="61" t="s">
        <v>474</v>
      </c>
      <c r="C391" s="62" t="s">
        <v>475</v>
      </c>
      <c r="D391" s="62" t="s">
        <v>214</v>
      </c>
      <c r="E391" s="60" t="s">
        <v>318</v>
      </c>
      <c r="F391" s="60" t="s">
        <v>87</v>
      </c>
      <c r="G391" s="60" t="s">
        <v>99</v>
      </c>
      <c r="H391" s="60" t="s">
        <v>89</v>
      </c>
      <c r="I391" s="60" t="s">
        <v>90</v>
      </c>
      <c r="J391" s="60" t="s">
        <v>3</v>
      </c>
      <c r="K391" s="60" t="s">
        <v>3</v>
      </c>
      <c r="L391" s="60">
        <v>42</v>
      </c>
      <c r="M391" s="60">
        <v>19</v>
      </c>
      <c r="N391" s="60">
        <v>7</v>
      </c>
      <c r="O391" s="60" t="s">
        <v>344</v>
      </c>
      <c r="P391" s="60" t="s">
        <v>1209</v>
      </c>
      <c r="Q391" s="60" t="s">
        <v>19</v>
      </c>
      <c r="R391" s="60" t="s">
        <v>92</v>
      </c>
      <c r="S391" s="60" t="s">
        <v>38</v>
      </c>
      <c r="T391" s="60" t="s">
        <v>94</v>
      </c>
      <c r="U391" s="60" t="s">
        <v>108</v>
      </c>
      <c r="V391" s="60" t="s">
        <v>92</v>
      </c>
      <c r="W391" s="60" t="s">
        <v>93</v>
      </c>
      <c r="X391" s="63" t="s">
        <v>95</v>
      </c>
    </row>
    <row r="392" spans="1:24">
      <c r="A392" s="60">
        <v>56</v>
      </c>
      <c r="B392" s="61" t="s">
        <v>992</v>
      </c>
      <c r="C392" s="62" t="s">
        <v>993</v>
      </c>
      <c r="D392" s="62" t="s">
        <v>994</v>
      </c>
      <c r="E392" s="60" t="s">
        <v>127</v>
      </c>
      <c r="F392" s="60" t="s">
        <v>87</v>
      </c>
      <c r="G392" s="60" t="s">
        <v>155</v>
      </c>
      <c r="H392" s="60" t="s">
        <v>707</v>
      </c>
      <c r="I392" s="60" t="s">
        <v>101</v>
      </c>
      <c r="J392" s="60" t="s">
        <v>2</v>
      </c>
      <c r="K392" s="60" t="s">
        <v>2</v>
      </c>
      <c r="L392" s="60" t="s">
        <v>87</v>
      </c>
      <c r="M392" s="60">
        <v>58</v>
      </c>
      <c r="N392" s="60" t="s">
        <v>87</v>
      </c>
      <c r="O392" s="60">
        <v>4</v>
      </c>
      <c r="P392" s="60" t="s">
        <v>754</v>
      </c>
      <c r="Q392" s="60" t="s">
        <v>92</v>
      </c>
      <c r="R392" s="60" t="s">
        <v>92</v>
      </c>
      <c r="S392" s="60" t="s">
        <v>92</v>
      </c>
      <c r="T392" s="60" t="s">
        <v>94</v>
      </c>
      <c r="U392" s="60" t="s">
        <v>108</v>
      </c>
      <c r="V392" s="60" t="s">
        <v>92</v>
      </c>
      <c r="W392" s="60" t="s">
        <v>93</v>
      </c>
      <c r="X392" s="63" t="s">
        <v>102</v>
      </c>
    </row>
    <row r="393" spans="1:24">
      <c r="A393" s="60">
        <v>206</v>
      </c>
      <c r="B393" s="61" t="s">
        <v>1704</v>
      </c>
      <c r="C393" s="62" t="s">
        <v>1705</v>
      </c>
      <c r="D393" s="62" t="s">
        <v>262</v>
      </c>
      <c r="E393" s="60" t="s">
        <v>218</v>
      </c>
      <c r="F393" s="60" t="s">
        <v>87</v>
      </c>
      <c r="G393" s="60" t="s">
        <v>158</v>
      </c>
      <c r="H393" s="60" t="s">
        <v>707</v>
      </c>
      <c r="I393" s="60" t="s">
        <v>101</v>
      </c>
      <c r="J393" s="60" t="s">
        <v>3</v>
      </c>
      <c r="K393" s="60" t="s">
        <v>2</v>
      </c>
      <c r="L393" s="60" t="s">
        <v>87</v>
      </c>
      <c r="M393" s="60">
        <v>64</v>
      </c>
      <c r="N393" s="60" t="s">
        <v>87</v>
      </c>
      <c r="O393" s="60">
        <v>17</v>
      </c>
      <c r="P393" s="60" t="s">
        <v>748</v>
      </c>
      <c r="Q393" s="60" t="s">
        <v>19</v>
      </c>
      <c r="R393" s="60" t="s">
        <v>20</v>
      </c>
      <c r="S393" s="60" t="s">
        <v>92</v>
      </c>
      <c r="T393" s="60" t="s">
        <v>94</v>
      </c>
      <c r="U393" s="60" t="s">
        <v>90</v>
      </c>
      <c r="V393" s="60" t="s">
        <v>92</v>
      </c>
      <c r="W393" s="60" t="s">
        <v>90</v>
      </c>
      <c r="X393" s="63" t="s">
        <v>102</v>
      </c>
    </row>
    <row r="394" spans="1:24">
      <c r="A394" s="60">
        <v>803</v>
      </c>
      <c r="B394" s="61" t="s">
        <v>995</v>
      </c>
      <c r="C394" s="62" t="s">
        <v>996</v>
      </c>
      <c r="D394" s="62" t="s">
        <v>997</v>
      </c>
      <c r="E394" s="60" t="s">
        <v>318</v>
      </c>
      <c r="F394" s="60" t="s">
        <v>87</v>
      </c>
      <c r="G394" s="60" t="s">
        <v>150</v>
      </c>
      <c r="H394" s="60" t="s">
        <v>707</v>
      </c>
      <c r="I394" s="60" t="s">
        <v>101</v>
      </c>
      <c r="J394" s="60" t="s">
        <v>2</v>
      </c>
      <c r="K394" s="60" t="s">
        <v>2</v>
      </c>
      <c r="L394" s="60" t="s">
        <v>87</v>
      </c>
      <c r="M394" s="60">
        <v>64</v>
      </c>
      <c r="N394" s="60" t="s">
        <v>87</v>
      </c>
      <c r="O394" s="60">
        <v>4</v>
      </c>
      <c r="P394" s="60" t="s">
        <v>754</v>
      </c>
      <c r="Q394" s="60" t="s">
        <v>92</v>
      </c>
      <c r="R394" s="60" t="s">
        <v>20</v>
      </c>
      <c r="S394" s="60" t="s">
        <v>92</v>
      </c>
      <c r="T394" s="60" t="s">
        <v>94</v>
      </c>
      <c r="U394" s="60" t="s">
        <v>101</v>
      </c>
      <c r="V394" s="60" t="s">
        <v>92</v>
      </c>
      <c r="W394" s="60" t="s">
        <v>90</v>
      </c>
      <c r="X394" s="63" t="s">
        <v>102</v>
      </c>
    </row>
    <row r="395" spans="1:24">
      <c r="A395" s="60">
        <v>117</v>
      </c>
      <c r="B395" s="61" t="s">
        <v>476</v>
      </c>
      <c r="C395" s="62" t="s">
        <v>477</v>
      </c>
      <c r="D395" s="62" t="s">
        <v>311</v>
      </c>
      <c r="E395" s="60" t="s">
        <v>146</v>
      </c>
      <c r="F395" s="60" t="s">
        <v>87</v>
      </c>
      <c r="G395" s="60" t="s">
        <v>88</v>
      </c>
      <c r="H395" s="60" t="s">
        <v>707</v>
      </c>
      <c r="I395" s="60" t="s">
        <v>101</v>
      </c>
      <c r="J395" s="60" t="s">
        <v>2</v>
      </c>
      <c r="K395" s="60" t="s">
        <v>2</v>
      </c>
      <c r="L395" s="60" t="s">
        <v>87</v>
      </c>
      <c r="M395" s="60">
        <v>40</v>
      </c>
      <c r="N395" s="60" t="s">
        <v>87</v>
      </c>
      <c r="O395" s="60">
        <v>23</v>
      </c>
      <c r="P395" s="60" t="s">
        <v>847</v>
      </c>
      <c r="Q395" s="60" t="s">
        <v>19</v>
      </c>
      <c r="R395" s="60" t="s">
        <v>92</v>
      </c>
      <c r="S395" s="60" t="s">
        <v>23</v>
      </c>
      <c r="T395" s="60" t="s">
        <v>94</v>
      </c>
      <c r="U395" s="60" t="s">
        <v>93</v>
      </c>
      <c r="V395" s="60" t="s">
        <v>92</v>
      </c>
      <c r="W395" s="60" t="s">
        <v>90</v>
      </c>
      <c r="X395" s="63" t="s">
        <v>102</v>
      </c>
    </row>
    <row r="396" spans="1:24">
      <c r="A396" s="60">
        <v>111</v>
      </c>
      <c r="B396" s="61" t="s">
        <v>1706</v>
      </c>
      <c r="C396" s="62" t="s">
        <v>1707</v>
      </c>
      <c r="D396" s="62" t="s">
        <v>1708</v>
      </c>
      <c r="E396" s="60" t="s">
        <v>146</v>
      </c>
      <c r="F396" s="60" t="s">
        <v>87</v>
      </c>
      <c r="G396" s="60" t="s">
        <v>155</v>
      </c>
      <c r="H396" s="60" t="s">
        <v>100</v>
      </c>
      <c r="I396" s="60" t="s">
        <v>101</v>
      </c>
      <c r="J396" s="60" t="s">
        <v>2</v>
      </c>
      <c r="K396" s="60" t="s">
        <v>2</v>
      </c>
      <c r="L396" s="60">
        <v>30</v>
      </c>
      <c r="M396" s="60">
        <v>5</v>
      </c>
      <c r="N396" s="60">
        <v>4</v>
      </c>
      <c r="O396" s="60" t="s">
        <v>118</v>
      </c>
      <c r="P396" s="60" t="s">
        <v>174</v>
      </c>
      <c r="Q396" s="60" t="s">
        <v>22</v>
      </c>
      <c r="R396" s="60" t="s">
        <v>20</v>
      </c>
      <c r="S396" s="60" t="s">
        <v>38</v>
      </c>
      <c r="T396" s="60" t="s">
        <v>94</v>
      </c>
      <c r="U396" s="60" t="s">
        <v>108</v>
      </c>
      <c r="V396" s="60" t="s">
        <v>92</v>
      </c>
      <c r="W396" s="60" t="s">
        <v>108</v>
      </c>
      <c r="X396" s="63" t="s">
        <v>102</v>
      </c>
    </row>
    <row r="397" spans="1:24">
      <c r="A397" s="60">
        <v>1145</v>
      </c>
      <c r="B397" s="61" t="s">
        <v>1709</v>
      </c>
      <c r="C397" s="62" t="s">
        <v>1710</v>
      </c>
      <c r="D397" s="62" t="s">
        <v>1711</v>
      </c>
      <c r="E397" s="60" t="s">
        <v>149</v>
      </c>
      <c r="F397" s="60" t="s">
        <v>170</v>
      </c>
      <c r="G397" s="60" t="s">
        <v>150</v>
      </c>
      <c r="H397" s="60" t="s">
        <v>707</v>
      </c>
      <c r="I397" s="60" t="s">
        <v>90</v>
      </c>
      <c r="J397" s="60" t="s">
        <v>2</v>
      </c>
      <c r="K397" s="60" t="s">
        <v>2</v>
      </c>
      <c r="L397" s="60" t="s">
        <v>87</v>
      </c>
      <c r="M397" s="60">
        <v>100</v>
      </c>
      <c r="N397" s="60" t="s">
        <v>87</v>
      </c>
      <c r="O397" s="60">
        <v>1</v>
      </c>
      <c r="P397" s="60" t="s">
        <v>729</v>
      </c>
      <c r="Q397" s="60" t="s">
        <v>92</v>
      </c>
      <c r="R397" s="60" t="s">
        <v>21</v>
      </c>
      <c r="S397" s="60" t="s">
        <v>92</v>
      </c>
      <c r="T397" s="60" t="s">
        <v>94</v>
      </c>
      <c r="U397" s="60" t="s">
        <v>93</v>
      </c>
      <c r="V397" s="60" t="s">
        <v>94</v>
      </c>
      <c r="W397" s="60" t="s">
        <v>90</v>
      </c>
      <c r="X397" s="63" t="s">
        <v>95</v>
      </c>
    </row>
    <row r="398" spans="1:24">
      <c r="A398" s="60">
        <v>979</v>
      </c>
      <c r="B398" s="61" t="s">
        <v>1375</v>
      </c>
      <c r="C398" s="62" t="s">
        <v>1376</v>
      </c>
      <c r="D398" s="62" t="s">
        <v>299</v>
      </c>
      <c r="E398" s="60" t="s">
        <v>218</v>
      </c>
      <c r="F398" s="60" t="s">
        <v>87</v>
      </c>
      <c r="G398" s="60" t="s">
        <v>150</v>
      </c>
      <c r="H398" s="60" t="s">
        <v>707</v>
      </c>
      <c r="I398" s="60" t="s">
        <v>90</v>
      </c>
      <c r="J398" s="60" t="s">
        <v>2</v>
      </c>
      <c r="K398" s="60" t="s">
        <v>2</v>
      </c>
      <c r="L398" s="60" t="s">
        <v>87</v>
      </c>
      <c r="M398" s="60">
        <v>3</v>
      </c>
      <c r="N398" s="60" t="s">
        <v>87</v>
      </c>
      <c r="O398" s="60">
        <v>3</v>
      </c>
      <c r="P398" s="60" t="s">
        <v>727</v>
      </c>
      <c r="Q398" s="60" t="s">
        <v>92</v>
      </c>
      <c r="R398" s="60" t="s">
        <v>21</v>
      </c>
      <c r="S398" s="60" t="s">
        <v>38</v>
      </c>
      <c r="T398" s="60" t="s">
        <v>92</v>
      </c>
      <c r="U398" s="60" t="s">
        <v>101</v>
      </c>
      <c r="V398" s="60" t="s">
        <v>92</v>
      </c>
      <c r="W398" s="60" t="s">
        <v>93</v>
      </c>
      <c r="X398" s="63" t="s">
        <v>95</v>
      </c>
    </row>
    <row r="399" spans="1:24">
      <c r="A399" s="60">
        <v>510</v>
      </c>
      <c r="B399" s="61" t="s">
        <v>1712</v>
      </c>
      <c r="C399" s="62" t="s">
        <v>1713</v>
      </c>
      <c r="D399" s="62" t="s">
        <v>201</v>
      </c>
      <c r="E399" s="60" t="s">
        <v>149</v>
      </c>
      <c r="F399" s="60" t="s">
        <v>87</v>
      </c>
      <c r="G399" s="60" t="s">
        <v>112</v>
      </c>
      <c r="H399" s="60" t="s">
        <v>707</v>
      </c>
      <c r="I399" s="60" t="s">
        <v>90</v>
      </c>
      <c r="J399" s="60" t="s">
        <v>3</v>
      </c>
      <c r="K399" s="60" t="s">
        <v>3</v>
      </c>
      <c r="L399" s="60" t="s">
        <v>87</v>
      </c>
      <c r="M399" s="60">
        <v>24</v>
      </c>
      <c r="N399" s="60" t="s">
        <v>87</v>
      </c>
      <c r="O399" s="60">
        <v>5</v>
      </c>
      <c r="P399" s="60" t="s">
        <v>708</v>
      </c>
      <c r="Q399" s="60" t="s">
        <v>22</v>
      </c>
      <c r="R399" s="60" t="s">
        <v>21</v>
      </c>
      <c r="S399" s="60" t="s">
        <v>92</v>
      </c>
      <c r="T399" s="60" t="s">
        <v>94</v>
      </c>
      <c r="U399" s="60" t="s">
        <v>108</v>
      </c>
      <c r="V399" s="60" t="s">
        <v>92</v>
      </c>
      <c r="W399" s="60" t="s">
        <v>90</v>
      </c>
      <c r="X399" s="63" t="s">
        <v>95</v>
      </c>
    </row>
    <row r="400" spans="1:24">
      <c r="A400" s="60">
        <v>1176</v>
      </c>
      <c r="B400" s="61" t="s">
        <v>1714</v>
      </c>
      <c r="C400" s="62" t="s">
        <v>1715</v>
      </c>
      <c r="D400" s="62" t="s">
        <v>364</v>
      </c>
      <c r="E400" s="60" t="s">
        <v>128</v>
      </c>
      <c r="F400" s="60" t="s">
        <v>170</v>
      </c>
      <c r="G400" s="60" t="s">
        <v>129</v>
      </c>
      <c r="H400" s="60" t="s">
        <v>100</v>
      </c>
      <c r="I400" s="60" t="s">
        <v>101</v>
      </c>
      <c r="J400" s="60" t="s">
        <v>3</v>
      </c>
      <c r="K400" s="60" t="s">
        <v>2</v>
      </c>
      <c r="L400" s="60">
        <v>200</v>
      </c>
      <c r="M400" s="60">
        <v>100</v>
      </c>
      <c r="N400" s="60">
        <v>2</v>
      </c>
      <c r="O400" s="60">
        <v>1</v>
      </c>
      <c r="P400" s="60" t="s">
        <v>172</v>
      </c>
      <c r="Q400" s="60" t="s">
        <v>92</v>
      </c>
      <c r="R400" s="60" t="s">
        <v>20</v>
      </c>
      <c r="S400" s="60" t="s">
        <v>38</v>
      </c>
      <c r="T400" s="60" t="s">
        <v>94</v>
      </c>
      <c r="U400" s="60" t="s">
        <v>108</v>
      </c>
      <c r="V400" s="60" t="s">
        <v>92</v>
      </c>
      <c r="W400" s="60" t="s">
        <v>90</v>
      </c>
      <c r="X400" s="63" t="s">
        <v>102</v>
      </c>
    </row>
    <row r="401" spans="1:24">
      <c r="A401" s="60">
        <v>1120</v>
      </c>
      <c r="B401" s="61" t="s">
        <v>1253</v>
      </c>
      <c r="C401" s="62" t="s">
        <v>998</v>
      </c>
      <c r="D401" s="62" t="s">
        <v>1070</v>
      </c>
      <c r="E401" s="60" t="s">
        <v>197</v>
      </c>
      <c r="F401" s="60" t="s">
        <v>170</v>
      </c>
      <c r="G401" s="60" t="s">
        <v>117</v>
      </c>
      <c r="H401" s="60" t="s">
        <v>707</v>
      </c>
      <c r="I401" s="60" t="s">
        <v>90</v>
      </c>
      <c r="J401" s="60" t="s">
        <v>2</v>
      </c>
      <c r="K401" s="60" t="s">
        <v>2</v>
      </c>
      <c r="L401" s="60" t="s">
        <v>87</v>
      </c>
      <c r="M401" s="60">
        <v>100</v>
      </c>
      <c r="N401" s="60" t="s">
        <v>87</v>
      </c>
      <c r="O401" s="60">
        <v>2</v>
      </c>
      <c r="P401" s="60" t="s">
        <v>807</v>
      </c>
      <c r="Q401" s="60" t="s">
        <v>92</v>
      </c>
      <c r="R401" s="60" t="s">
        <v>92</v>
      </c>
      <c r="S401" s="60" t="s">
        <v>38</v>
      </c>
      <c r="T401" s="60" t="s">
        <v>94</v>
      </c>
      <c r="U401" s="60" t="s">
        <v>108</v>
      </c>
      <c r="V401" s="60" t="s">
        <v>94</v>
      </c>
      <c r="W401" s="60" t="s">
        <v>93</v>
      </c>
      <c r="X401" s="63" t="s">
        <v>95</v>
      </c>
    </row>
    <row r="402" spans="1:24">
      <c r="A402" s="60">
        <v>298</v>
      </c>
      <c r="B402" s="61" t="s">
        <v>1377</v>
      </c>
      <c r="C402" s="62" t="s">
        <v>478</v>
      </c>
      <c r="D402" s="62" t="s">
        <v>122</v>
      </c>
      <c r="E402" s="60" t="s">
        <v>408</v>
      </c>
      <c r="F402" s="60" t="s">
        <v>87</v>
      </c>
      <c r="G402" s="60" t="s">
        <v>182</v>
      </c>
      <c r="H402" s="60" t="s">
        <v>707</v>
      </c>
      <c r="I402" s="60" t="s">
        <v>101</v>
      </c>
      <c r="J402" s="60" t="s">
        <v>2</v>
      </c>
      <c r="K402" s="60" t="s">
        <v>2</v>
      </c>
      <c r="L402" s="60" t="s">
        <v>87</v>
      </c>
      <c r="M402" s="60">
        <v>21</v>
      </c>
      <c r="N402" s="60" t="s">
        <v>87</v>
      </c>
      <c r="O402" s="60">
        <v>3</v>
      </c>
      <c r="P402" s="60" t="s">
        <v>727</v>
      </c>
      <c r="Q402" s="60" t="s">
        <v>22</v>
      </c>
      <c r="R402" s="60" t="s">
        <v>20</v>
      </c>
      <c r="S402" s="60" t="s">
        <v>92</v>
      </c>
      <c r="T402" s="60" t="s">
        <v>94</v>
      </c>
      <c r="U402" s="60" t="s">
        <v>108</v>
      </c>
      <c r="V402" s="60" t="s">
        <v>92</v>
      </c>
      <c r="W402" s="60" t="s">
        <v>93</v>
      </c>
      <c r="X402" s="63" t="s">
        <v>102</v>
      </c>
    </row>
    <row r="403" spans="1:24">
      <c r="A403" s="60">
        <v>330</v>
      </c>
      <c r="B403" s="61" t="s">
        <v>1716</v>
      </c>
      <c r="C403" s="62" t="s">
        <v>478</v>
      </c>
      <c r="D403" s="62" t="s">
        <v>725</v>
      </c>
      <c r="E403" s="60" t="s">
        <v>127</v>
      </c>
      <c r="F403" s="60" t="s">
        <v>170</v>
      </c>
      <c r="G403" s="60" t="s">
        <v>117</v>
      </c>
      <c r="H403" s="60" t="s">
        <v>100</v>
      </c>
      <c r="I403" s="60" t="s">
        <v>90</v>
      </c>
      <c r="J403" s="60" t="s">
        <v>2</v>
      </c>
      <c r="K403" s="60" t="s">
        <v>2</v>
      </c>
      <c r="L403" s="60">
        <v>200</v>
      </c>
      <c r="M403" s="60">
        <v>100</v>
      </c>
      <c r="N403" s="60">
        <v>1</v>
      </c>
      <c r="O403" s="60">
        <v>1</v>
      </c>
      <c r="P403" s="60" t="s">
        <v>255</v>
      </c>
      <c r="Q403" s="60" t="s">
        <v>22</v>
      </c>
      <c r="R403" s="60" t="s">
        <v>92</v>
      </c>
      <c r="S403" s="60" t="s">
        <v>38</v>
      </c>
      <c r="T403" s="60" t="s">
        <v>94</v>
      </c>
      <c r="U403" s="60" t="s">
        <v>108</v>
      </c>
      <c r="V403" s="60" t="s">
        <v>92</v>
      </c>
      <c r="W403" s="60" t="s">
        <v>93</v>
      </c>
      <c r="X403" s="63" t="s">
        <v>95</v>
      </c>
    </row>
    <row r="404" spans="1:24">
      <c r="A404" s="60">
        <v>1344</v>
      </c>
      <c r="B404" s="61" t="s">
        <v>1717</v>
      </c>
      <c r="C404" s="62" t="s">
        <v>478</v>
      </c>
      <c r="D404" s="62" t="s">
        <v>774</v>
      </c>
      <c r="E404" s="60" t="s">
        <v>266</v>
      </c>
      <c r="F404" s="60" t="s">
        <v>87</v>
      </c>
      <c r="G404" s="60" t="s">
        <v>142</v>
      </c>
      <c r="H404" s="60" t="s">
        <v>707</v>
      </c>
      <c r="I404" s="60" t="s">
        <v>90</v>
      </c>
      <c r="J404" s="60" t="s">
        <v>2</v>
      </c>
      <c r="K404" s="60" t="s">
        <v>2</v>
      </c>
      <c r="L404" s="60" t="s">
        <v>87</v>
      </c>
      <c r="M404" s="60">
        <v>13</v>
      </c>
      <c r="N404" s="60" t="s">
        <v>87</v>
      </c>
      <c r="O404" s="60">
        <v>3</v>
      </c>
      <c r="P404" s="60" t="s">
        <v>727</v>
      </c>
      <c r="Q404" s="60" t="s">
        <v>24</v>
      </c>
      <c r="R404" s="60" t="s">
        <v>92</v>
      </c>
      <c r="S404" s="60" t="s">
        <v>38</v>
      </c>
      <c r="T404" s="60" t="s">
        <v>94</v>
      </c>
      <c r="U404" s="60" t="s">
        <v>93</v>
      </c>
      <c r="V404" s="60" t="s">
        <v>92</v>
      </c>
      <c r="W404" s="60" t="s">
        <v>93</v>
      </c>
      <c r="X404" s="63" t="s">
        <v>95</v>
      </c>
    </row>
    <row r="405" spans="1:24">
      <c r="A405" s="60">
        <v>799</v>
      </c>
      <c r="B405" s="61" t="s">
        <v>479</v>
      </c>
      <c r="C405" s="62" t="s">
        <v>480</v>
      </c>
      <c r="D405" s="62" t="s">
        <v>206</v>
      </c>
      <c r="E405" s="60" t="s">
        <v>318</v>
      </c>
      <c r="F405" s="60" t="s">
        <v>87</v>
      </c>
      <c r="G405" s="60" t="s">
        <v>107</v>
      </c>
      <c r="H405" s="60" t="s">
        <v>100</v>
      </c>
      <c r="I405" s="60" t="s">
        <v>101</v>
      </c>
      <c r="J405" s="60" t="s">
        <v>2</v>
      </c>
      <c r="K405" s="60" t="s">
        <v>2</v>
      </c>
      <c r="L405" s="60">
        <v>175</v>
      </c>
      <c r="M405" s="60">
        <v>5</v>
      </c>
      <c r="N405" s="60">
        <v>13</v>
      </c>
      <c r="O405" s="60" t="s">
        <v>322</v>
      </c>
      <c r="P405" s="60" t="s">
        <v>225</v>
      </c>
      <c r="Q405" s="60" t="s">
        <v>19</v>
      </c>
      <c r="R405" s="60" t="s">
        <v>92</v>
      </c>
      <c r="S405" s="60" t="s">
        <v>37</v>
      </c>
      <c r="T405" s="60" t="s">
        <v>92</v>
      </c>
      <c r="U405" s="60" t="s">
        <v>108</v>
      </c>
      <c r="V405" s="60" t="s">
        <v>92</v>
      </c>
      <c r="W405" s="60" t="s">
        <v>108</v>
      </c>
      <c r="X405" s="63" t="s">
        <v>102</v>
      </c>
    </row>
    <row r="406" spans="1:24">
      <c r="A406" s="60">
        <v>409</v>
      </c>
      <c r="B406" s="61" t="s">
        <v>1231</v>
      </c>
      <c r="C406" s="62" t="s">
        <v>480</v>
      </c>
      <c r="D406" s="62" t="s">
        <v>647</v>
      </c>
      <c r="E406" s="60" t="s">
        <v>249</v>
      </c>
      <c r="F406" s="60" t="s">
        <v>87</v>
      </c>
      <c r="G406" s="60" t="s">
        <v>112</v>
      </c>
      <c r="H406" s="60" t="s">
        <v>100</v>
      </c>
      <c r="I406" s="60" t="s">
        <v>90</v>
      </c>
      <c r="J406" s="60" t="s">
        <v>3</v>
      </c>
      <c r="K406" s="60" t="s">
        <v>2</v>
      </c>
      <c r="L406" s="60">
        <v>121</v>
      </c>
      <c r="M406" s="60">
        <v>4</v>
      </c>
      <c r="N406" s="60">
        <v>8</v>
      </c>
      <c r="O406" s="60" t="s">
        <v>344</v>
      </c>
      <c r="P406" s="60" t="s">
        <v>198</v>
      </c>
      <c r="Q406" s="60" t="s">
        <v>92</v>
      </c>
      <c r="R406" s="60" t="s">
        <v>92</v>
      </c>
      <c r="S406" s="60" t="s">
        <v>92</v>
      </c>
      <c r="T406" s="60" t="s">
        <v>94</v>
      </c>
      <c r="U406" s="60" t="s">
        <v>101</v>
      </c>
      <c r="V406" s="60" t="s">
        <v>92</v>
      </c>
      <c r="W406" s="60" t="s">
        <v>93</v>
      </c>
      <c r="X406" s="63" t="s">
        <v>95</v>
      </c>
    </row>
    <row r="407" spans="1:24">
      <c r="A407" s="60">
        <v>1134</v>
      </c>
      <c r="B407" s="61" t="s">
        <v>1261</v>
      </c>
      <c r="C407" s="62" t="s">
        <v>1262</v>
      </c>
      <c r="D407" s="62" t="s">
        <v>647</v>
      </c>
      <c r="E407" s="60" t="s">
        <v>127</v>
      </c>
      <c r="F407" s="60" t="s">
        <v>87</v>
      </c>
      <c r="G407" s="60" t="s">
        <v>155</v>
      </c>
      <c r="H407" s="60" t="s">
        <v>707</v>
      </c>
      <c r="I407" s="60" t="s">
        <v>90</v>
      </c>
      <c r="J407" s="60" t="s">
        <v>2</v>
      </c>
      <c r="K407" s="60" t="s">
        <v>2</v>
      </c>
      <c r="L407" s="60" t="s">
        <v>87</v>
      </c>
      <c r="M407" s="60">
        <v>25</v>
      </c>
      <c r="N407" s="60" t="s">
        <v>87</v>
      </c>
      <c r="O407" s="60">
        <v>4</v>
      </c>
      <c r="P407" s="60" t="s">
        <v>754</v>
      </c>
      <c r="Q407" s="60" t="s">
        <v>92</v>
      </c>
      <c r="R407" s="60" t="s">
        <v>20</v>
      </c>
      <c r="S407" s="60" t="s">
        <v>92</v>
      </c>
      <c r="T407" s="60" t="s">
        <v>94</v>
      </c>
      <c r="U407" s="60" t="s">
        <v>108</v>
      </c>
      <c r="V407" s="60" t="s">
        <v>92</v>
      </c>
      <c r="W407" s="60" t="s">
        <v>90</v>
      </c>
      <c r="X407" s="63" t="s">
        <v>95</v>
      </c>
    </row>
    <row r="408" spans="1:24">
      <c r="A408" s="60">
        <v>917</v>
      </c>
      <c r="B408" s="61" t="s">
        <v>481</v>
      </c>
      <c r="C408" s="62" t="s">
        <v>482</v>
      </c>
      <c r="D408" s="62" t="s">
        <v>353</v>
      </c>
      <c r="E408" s="60" t="s">
        <v>86</v>
      </c>
      <c r="F408" s="60" t="s">
        <v>87</v>
      </c>
      <c r="G408" s="60" t="s">
        <v>88</v>
      </c>
      <c r="H408" s="60" t="s">
        <v>100</v>
      </c>
      <c r="I408" s="60" t="s">
        <v>90</v>
      </c>
      <c r="J408" s="60" t="s">
        <v>2</v>
      </c>
      <c r="K408" s="60" t="s">
        <v>2</v>
      </c>
      <c r="L408" s="60">
        <v>44</v>
      </c>
      <c r="M408" s="60">
        <v>16</v>
      </c>
      <c r="N408" s="60">
        <v>5</v>
      </c>
      <c r="O408" s="60" t="s">
        <v>166</v>
      </c>
      <c r="P408" s="60" t="s">
        <v>288</v>
      </c>
      <c r="Q408" s="60" t="s">
        <v>92</v>
      </c>
      <c r="R408" s="60" t="s">
        <v>21</v>
      </c>
      <c r="S408" s="60" t="s">
        <v>92</v>
      </c>
      <c r="T408" s="60" t="s">
        <v>92</v>
      </c>
      <c r="U408" s="60" t="s">
        <v>108</v>
      </c>
      <c r="V408" s="60" t="s">
        <v>92</v>
      </c>
      <c r="W408" s="60" t="s">
        <v>108</v>
      </c>
      <c r="X408" s="63" t="s">
        <v>95</v>
      </c>
    </row>
    <row r="409" spans="1:24">
      <c r="A409" s="60">
        <v>1318</v>
      </c>
      <c r="B409" s="61" t="s">
        <v>1718</v>
      </c>
      <c r="C409" s="62" t="s">
        <v>1719</v>
      </c>
      <c r="D409" s="62" t="s">
        <v>1720</v>
      </c>
      <c r="E409" s="60" t="s">
        <v>209</v>
      </c>
      <c r="F409" s="60" t="s">
        <v>87</v>
      </c>
      <c r="G409" s="60" t="s">
        <v>142</v>
      </c>
      <c r="H409" s="60" t="s">
        <v>707</v>
      </c>
      <c r="I409" s="60" t="s">
        <v>101</v>
      </c>
      <c r="J409" s="60" t="s">
        <v>2</v>
      </c>
      <c r="K409" s="60" t="s">
        <v>2</v>
      </c>
      <c r="L409" s="60" t="s">
        <v>87</v>
      </c>
      <c r="M409" s="60">
        <v>27</v>
      </c>
      <c r="N409" s="60" t="s">
        <v>87</v>
      </c>
      <c r="O409" s="60">
        <v>6</v>
      </c>
      <c r="P409" s="60" t="s">
        <v>740</v>
      </c>
      <c r="Q409" s="60" t="s">
        <v>24</v>
      </c>
      <c r="R409" s="60" t="s">
        <v>92</v>
      </c>
      <c r="S409" s="60" t="s">
        <v>38</v>
      </c>
      <c r="T409" s="60" t="s">
        <v>94</v>
      </c>
      <c r="U409" s="60" t="s">
        <v>108</v>
      </c>
      <c r="V409" s="60" t="s">
        <v>92</v>
      </c>
      <c r="W409" s="60" t="s">
        <v>93</v>
      </c>
      <c r="X409" s="63" t="s">
        <v>102</v>
      </c>
    </row>
    <row r="410" spans="1:24">
      <c r="A410" s="60">
        <v>564</v>
      </c>
      <c r="B410" s="61" t="s">
        <v>999</v>
      </c>
      <c r="C410" s="62" t="s">
        <v>1000</v>
      </c>
      <c r="D410" s="62" t="s">
        <v>262</v>
      </c>
      <c r="E410" s="60" t="s">
        <v>127</v>
      </c>
      <c r="F410" s="60" t="s">
        <v>87</v>
      </c>
      <c r="G410" s="60" t="s">
        <v>142</v>
      </c>
      <c r="H410" s="60" t="s">
        <v>707</v>
      </c>
      <c r="I410" s="60" t="s">
        <v>90</v>
      </c>
      <c r="J410" s="60" t="s">
        <v>2</v>
      </c>
      <c r="K410" s="60" t="s">
        <v>2</v>
      </c>
      <c r="L410" s="60" t="s">
        <v>87</v>
      </c>
      <c r="M410" s="60">
        <v>56</v>
      </c>
      <c r="N410" s="60" t="s">
        <v>87</v>
      </c>
      <c r="O410" s="60">
        <v>6</v>
      </c>
      <c r="P410" s="60" t="s">
        <v>740</v>
      </c>
      <c r="Q410" s="60" t="s">
        <v>92</v>
      </c>
      <c r="R410" s="60" t="s">
        <v>92</v>
      </c>
      <c r="S410" s="60" t="s">
        <v>37</v>
      </c>
      <c r="T410" s="60" t="s">
        <v>92</v>
      </c>
      <c r="U410" s="60" t="s">
        <v>108</v>
      </c>
      <c r="V410" s="60" t="s">
        <v>92</v>
      </c>
      <c r="W410" s="60" t="s">
        <v>93</v>
      </c>
      <c r="X410" s="63" t="s">
        <v>95</v>
      </c>
    </row>
    <row r="411" spans="1:24">
      <c r="A411" s="60">
        <v>26</v>
      </c>
      <c r="B411" s="61" t="s">
        <v>1001</v>
      </c>
      <c r="C411" s="62" t="s">
        <v>1002</v>
      </c>
      <c r="D411" s="62" t="s">
        <v>308</v>
      </c>
      <c r="E411" s="60" t="s">
        <v>178</v>
      </c>
      <c r="F411" s="60" t="s">
        <v>87</v>
      </c>
      <c r="G411" s="60" t="s">
        <v>164</v>
      </c>
      <c r="H411" s="60" t="s">
        <v>707</v>
      </c>
      <c r="I411" s="60" t="s">
        <v>101</v>
      </c>
      <c r="J411" s="60" t="s">
        <v>3</v>
      </c>
      <c r="K411" s="60" t="s">
        <v>3</v>
      </c>
      <c r="L411" s="60" t="s">
        <v>87</v>
      </c>
      <c r="M411" s="60">
        <v>49</v>
      </c>
      <c r="N411" s="60" t="s">
        <v>87</v>
      </c>
      <c r="O411" s="60">
        <v>14</v>
      </c>
      <c r="P411" s="60" t="s">
        <v>794</v>
      </c>
      <c r="Q411" s="60" t="s">
        <v>24</v>
      </c>
      <c r="R411" s="60" t="s">
        <v>92</v>
      </c>
      <c r="S411" s="60" t="s">
        <v>92</v>
      </c>
      <c r="T411" s="60" t="s">
        <v>94</v>
      </c>
      <c r="U411" s="60" t="s">
        <v>108</v>
      </c>
      <c r="V411" s="60" t="s">
        <v>92</v>
      </c>
      <c r="W411" s="60" t="s">
        <v>90</v>
      </c>
      <c r="X411" s="63" t="s">
        <v>102</v>
      </c>
    </row>
    <row r="412" spans="1:24">
      <c r="A412" s="60">
        <v>711</v>
      </c>
      <c r="B412" s="61" t="s">
        <v>1721</v>
      </c>
      <c r="C412" s="62" t="s">
        <v>1722</v>
      </c>
      <c r="D412" s="62" t="s">
        <v>704</v>
      </c>
      <c r="E412" s="60" t="s">
        <v>328</v>
      </c>
      <c r="F412" s="60" t="s">
        <v>87</v>
      </c>
      <c r="G412" s="60" t="s">
        <v>112</v>
      </c>
      <c r="H412" s="60" t="s">
        <v>100</v>
      </c>
      <c r="I412" s="60" t="s">
        <v>90</v>
      </c>
      <c r="J412" s="60" t="s">
        <v>2</v>
      </c>
      <c r="K412" s="60" t="s">
        <v>3</v>
      </c>
      <c r="L412" s="60">
        <v>36</v>
      </c>
      <c r="M412" s="60" t="s">
        <v>87</v>
      </c>
      <c r="N412" s="60">
        <v>13</v>
      </c>
      <c r="O412" s="60" t="s">
        <v>87</v>
      </c>
      <c r="P412" s="60">
        <v>13</v>
      </c>
      <c r="Q412" s="60" t="s">
        <v>22</v>
      </c>
      <c r="R412" s="60" t="s">
        <v>92</v>
      </c>
      <c r="S412" s="60" t="s">
        <v>92</v>
      </c>
      <c r="T412" s="60" t="s">
        <v>94</v>
      </c>
      <c r="U412" s="60" t="s">
        <v>93</v>
      </c>
      <c r="V412" s="60" t="s">
        <v>92</v>
      </c>
      <c r="W412" s="60" t="s">
        <v>93</v>
      </c>
      <c r="X412" s="63" t="s">
        <v>95</v>
      </c>
    </row>
    <row r="413" spans="1:24">
      <c r="A413" s="60">
        <v>1187</v>
      </c>
      <c r="B413" s="61" t="s">
        <v>1256</v>
      </c>
      <c r="C413" s="62" t="s">
        <v>1257</v>
      </c>
      <c r="D413" s="62" t="s">
        <v>214</v>
      </c>
      <c r="E413" s="60" t="s">
        <v>163</v>
      </c>
      <c r="F413" s="60" t="s">
        <v>87</v>
      </c>
      <c r="G413" s="60" t="s">
        <v>112</v>
      </c>
      <c r="H413" s="60" t="s">
        <v>100</v>
      </c>
      <c r="I413" s="60" t="s">
        <v>90</v>
      </c>
      <c r="J413" s="60" t="s">
        <v>3</v>
      </c>
      <c r="K413" s="60" t="s">
        <v>3</v>
      </c>
      <c r="L413" s="60">
        <v>22</v>
      </c>
      <c r="M413" s="60" t="s">
        <v>87</v>
      </c>
      <c r="N413" s="60">
        <v>7</v>
      </c>
      <c r="O413" s="60" t="s">
        <v>87</v>
      </c>
      <c r="P413" s="60">
        <v>7</v>
      </c>
      <c r="Q413" s="60" t="s">
        <v>92</v>
      </c>
      <c r="R413" s="60" t="s">
        <v>21</v>
      </c>
      <c r="S413" s="60" t="s">
        <v>92</v>
      </c>
      <c r="T413" s="60" t="s">
        <v>94</v>
      </c>
      <c r="U413" s="60" t="s">
        <v>108</v>
      </c>
      <c r="V413" s="60" t="s">
        <v>92</v>
      </c>
      <c r="W413" s="60" t="s">
        <v>93</v>
      </c>
      <c r="X413" s="63" t="s">
        <v>95</v>
      </c>
    </row>
    <row r="414" spans="1:24">
      <c r="A414" s="60">
        <v>836</v>
      </c>
      <c r="B414" s="61" t="s">
        <v>483</v>
      </c>
      <c r="C414" s="62" t="s">
        <v>484</v>
      </c>
      <c r="D414" s="62" t="s">
        <v>148</v>
      </c>
      <c r="E414" s="60" t="s">
        <v>209</v>
      </c>
      <c r="F414" s="60" t="s">
        <v>87</v>
      </c>
      <c r="G414" s="60" t="s">
        <v>112</v>
      </c>
      <c r="H414" s="60" t="s">
        <v>707</v>
      </c>
      <c r="I414" s="60" t="s">
        <v>90</v>
      </c>
      <c r="J414" s="60" t="s">
        <v>2</v>
      </c>
      <c r="K414" s="60" t="s">
        <v>2</v>
      </c>
      <c r="L414" s="60" t="s">
        <v>87</v>
      </c>
      <c r="M414" s="60">
        <v>51</v>
      </c>
      <c r="N414" s="60" t="s">
        <v>87</v>
      </c>
      <c r="O414" s="60">
        <v>13</v>
      </c>
      <c r="P414" s="60" t="s">
        <v>718</v>
      </c>
      <c r="Q414" s="60" t="s">
        <v>22</v>
      </c>
      <c r="R414" s="60" t="s">
        <v>92</v>
      </c>
      <c r="S414" s="60" t="s">
        <v>37</v>
      </c>
      <c r="T414" s="60" t="s">
        <v>94</v>
      </c>
      <c r="U414" s="60" t="s">
        <v>90</v>
      </c>
      <c r="V414" s="60" t="s">
        <v>92</v>
      </c>
      <c r="W414" s="60" t="s">
        <v>90</v>
      </c>
      <c r="X414" s="63" t="s">
        <v>95</v>
      </c>
    </row>
    <row r="415" spans="1:24">
      <c r="A415" s="60">
        <v>268</v>
      </c>
      <c r="B415" s="61" t="s">
        <v>1379</v>
      </c>
      <c r="C415" s="62" t="s">
        <v>1380</v>
      </c>
      <c r="D415" s="62" t="s">
        <v>145</v>
      </c>
      <c r="E415" s="60" t="s">
        <v>98</v>
      </c>
      <c r="F415" s="60" t="s">
        <v>87</v>
      </c>
      <c r="G415" s="60" t="s">
        <v>117</v>
      </c>
      <c r="H415" s="60" t="s">
        <v>89</v>
      </c>
      <c r="I415" s="60" t="s">
        <v>90</v>
      </c>
      <c r="J415" s="60" t="s">
        <v>2</v>
      </c>
      <c r="K415" s="60" t="s">
        <v>2</v>
      </c>
      <c r="L415" s="60">
        <v>84</v>
      </c>
      <c r="M415" s="60">
        <v>32</v>
      </c>
      <c r="N415" s="60">
        <v>6</v>
      </c>
      <c r="O415" s="60" t="s">
        <v>633</v>
      </c>
      <c r="P415" s="60" t="s">
        <v>1723</v>
      </c>
      <c r="Q415" s="60" t="s">
        <v>19</v>
      </c>
      <c r="R415" s="60" t="s">
        <v>20</v>
      </c>
      <c r="S415" s="60" t="s">
        <v>92</v>
      </c>
      <c r="T415" s="60" t="s">
        <v>94</v>
      </c>
      <c r="U415" s="60" t="s">
        <v>108</v>
      </c>
      <c r="V415" s="60" t="s">
        <v>92</v>
      </c>
      <c r="W415" s="60" t="s">
        <v>93</v>
      </c>
      <c r="X415" s="63" t="s">
        <v>95</v>
      </c>
    </row>
    <row r="416" spans="1:24">
      <c r="A416" s="60">
        <v>1224</v>
      </c>
      <c r="B416" s="61" t="s">
        <v>1003</v>
      </c>
      <c r="C416" s="62" t="s">
        <v>1004</v>
      </c>
      <c r="D416" s="62" t="s">
        <v>1005</v>
      </c>
      <c r="E416" s="60" t="s">
        <v>106</v>
      </c>
      <c r="F416" s="60" t="s">
        <v>87</v>
      </c>
      <c r="G416" s="60" t="s">
        <v>164</v>
      </c>
      <c r="H416" s="60" t="s">
        <v>707</v>
      </c>
      <c r="I416" s="60" t="s">
        <v>90</v>
      </c>
      <c r="J416" s="60" t="s">
        <v>2</v>
      </c>
      <c r="K416" s="60" t="s">
        <v>2</v>
      </c>
      <c r="L416" s="60" t="s">
        <v>87</v>
      </c>
      <c r="M416" s="60">
        <v>12</v>
      </c>
      <c r="N416" s="60" t="s">
        <v>87</v>
      </c>
      <c r="O416" s="60">
        <v>7</v>
      </c>
      <c r="P416" s="60" t="s">
        <v>722</v>
      </c>
      <c r="Q416" s="60" t="s">
        <v>92</v>
      </c>
      <c r="R416" s="60" t="s">
        <v>21</v>
      </c>
      <c r="S416" s="60" t="s">
        <v>23</v>
      </c>
      <c r="T416" s="60" t="s">
        <v>94</v>
      </c>
      <c r="U416" s="60" t="s">
        <v>93</v>
      </c>
      <c r="V416" s="60" t="s">
        <v>94</v>
      </c>
      <c r="W416" s="60" t="s">
        <v>93</v>
      </c>
      <c r="X416" s="63" t="s">
        <v>95</v>
      </c>
    </row>
    <row r="417" spans="1:24">
      <c r="A417" s="60">
        <v>1317</v>
      </c>
      <c r="B417" s="61" t="s">
        <v>1724</v>
      </c>
      <c r="C417" s="62" t="s">
        <v>1725</v>
      </c>
      <c r="D417" s="62" t="s">
        <v>795</v>
      </c>
      <c r="E417" s="60" t="s">
        <v>209</v>
      </c>
      <c r="F417" s="60" t="s">
        <v>170</v>
      </c>
      <c r="G417" s="60" t="s">
        <v>117</v>
      </c>
      <c r="H417" s="60" t="s">
        <v>707</v>
      </c>
      <c r="I417" s="60" t="s">
        <v>90</v>
      </c>
      <c r="J417" s="60" t="s">
        <v>2</v>
      </c>
      <c r="K417" s="60" t="s">
        <v>2</v>
      </c>
      <c r="L417" s="60" t="s">
        <v>87</v>
      </c>
      <c r="M417" s="60">
        <v>100</v>
      </c>
      <c r="N417" s="60" t="s">
        <v>87</v>
      </c>
      <c r="O417" s="60">
        <v>1</v>
      </c>
      <c r="P417" s="60" t="s">
        <v>729</v>
      </c>
      <c r="Q417" s="60" t="s">
        <v>92</v>
      </c>
      <c r="R417" s="60" t="s">
        <v>21</v>
      </c>
      <c r="S417" s="60" t="s">
        <v>3</v>
      </c>
      <c r="T417" s="60" t="s">
        <v>94</v>
      </c>
      <c r="U417" s="60" t="s">
        <v>90</v>
      </c>
      <c r="V417" s="60" t="s">
        <v>94</v>
      </c>
      <c r="W417" s="60" t="s">
        <v>93</v>
      </c>
      <c r="X417" s="63" t="s">
        <v>95</v>
      </c>
    </row>
    <row r="418" spans="1:24">
      <c r="A418" s="60">
        <v>114</v>
      </c>
      <c r="B418" s="61" t="s">
        <v>1726</v>
      </c>
      <c r="C418" s="62" t="s">
        <v>1727</v>
      </c>
      <c r="D418" s="62" t="s">
        <v>177</v>
      </c>
      <c r="E418" s="60" t="s">
        <v>146</v>
      </c>
      <c r="F418" s="60" t="s">
        <v>87</v>
      </c>
      <c r="G418" s="60" t="s">
        <v>99</v>
      </c>
      <c r="H418" s="60" t="s">
        <v>89</v>
      </c>
      <c r="I418" s="60" t="s">
        <v>90</v>
      </c>
      <c r="J418" s="60" t="s">
        <v>2</v>
      </c>
      <c r="K418" s="60" t="s">
        <v>2</v>
      </c>
      <c r="L418" s="60">
        <v>5</v>
      </c>
      <c r="M418" s="60">
        <v>65</v>
      </c>
      <c r="N418" s="60">
        <v>5</v>
      </c>
      <c r="O418" s="60" t="s">
        <v>433</v>
      </c>
      <c r="P418" s="60" t="s">
        <v>1728</v>
      </c>
      <c r="Q418" s="60" t="s">
        <v>24</v>
      </c>
      <c r="R418" s="60" t="s">
        <v>92</v>
      </c>
      <c r="S418" s="60" t="s">
        <v>92</v>
      </c>
      <c r="T418" s="60" t="s">
        <v>94</v>
      </c>
      <c r="U418" s="60" t="s">
        <v>108</v>
      </c>
      <c r="V418" s="60" t="s">
        <v>92</v>
      </c>
      <c r="W418" s="60" t="s">
        <v>90</v>
      </c>
      <c r="X418" s="63" t="s">
        <v>95</v>
      </c>
    </row>
    <row r="419" spans="1:24">
      <c r="A419" s="60">
        <v>1205</v>
      </c>
      <c r="B419" s="61" t="s">
        <v>1729</v>
      </c>
      <c r="C419" s="62" t="s">
        <v>1730</v>
      </c>
      <c r="D419" s="62" t="s">
        <v>148</v>
      </c>
      <c r="E419" s="60" t="s">
        <v>154</v>
      </c>
      <c r="F419" s="60" t="s">
        <v>87</v>
      </c>
      <c r="G419" s="60" t="s">
        <v>142</v>
      </c>
      <c r="H419" s="60" t="s">
        <v>100</v>
      </c>
      <c r="I419" s="60" t="s">
        <v>101</v>
      </c>
      <c r="J419" s="60" t="s">
        <v>2</v>
      </c>
      <c r="K419" s="60" t="s">
        <v>2</v>
      </c>
      <c r="L419" s="60">
        <v>23</v>
      </c>
      <c r="M419" s="60" t="s">
        <v>87</v>
      </c>
      <c r="N419" s="60">
        <v>4</v>
      </c>
      <c r="O419" s="60" t="s">
        <v>87</v>
      </c>
      <c r="P419" s="60">
        <v>4</v>
      </c>
      <c r="Q419" s="60" t="s">
        <v>24</v>
      </c>
      <c r="R419" s="60" t="s">
        <v>20</v>
      </c>
      <c r="S419" s="60" t="s">
        <v>38</v>
      </c>
      <c r="T419" s="60" t="s">
        <v>94</v>
      </c>
      <c r="U419" s="60" t="s">
        <v>93</v>
      </c>
      <c r="V419" s="60" t="s">
        <v>94</v>
      </c>
      <c r="W419" s="60" t="s">
        <v>90</v>
      </c>
      <c r="X419" s="63" t="s">
        <v>102</v>
      </c>
    </row>
    <row r="420" spans="1:24">
      <c r="A420" s="60">
        <v>170</v>
      </c>
      <c r="B420" s="61" t="s">
        <v>1731</v>
      </c>
      <c r="C420" s="62" t="s">
        <v>1732</v>
      </c>
      <c r="D420" s="62" t="s">
        <v>473</v>
      </c>
      <c r="E420" s="60" t="s">
        <v>157</v>
      </c>
      <c r="F420" s="60" t="s">
        <v>87</v>
      </c>
      <c r="G420" s="60" t="s">
        <v>398</v>
      </c>
      <c r="H420" s="60" t="s">
        <v>100</v>
      </c>
      <c r="I420" s="60" t="s">
        <v>101</v>
      </c>
      <c r="J420" s="60" t="s">
        <v>3</v>
      </c>
      <c r="K420" s="60" t="s">
        <v>2</v>
      </c>
      <c r="L420" s="60">
        <v>126</v>
      </c>
      <c r="M420" s="60" t="s">
        <v>87</v>
      </c>
      <c r="N420" s="60">
        <v>12</v>
      </c>
      <c r="O420" s="60" t="s">
        <v>87</v>
      </c>
      <c r="P420" s="60">
        <v>12</v>
      </c>
      <c r="Q420" s="60" t="s">
        <v>19</v>
      </c>
      <c r="R420" s="60" t="s">
        <v>92</v>
      </c>
      <c r="S420" s="60" t="s">
        <v>37</v>
      </c>
      <c r="T420" s="60" t="s">
        <v>92</v>
      </c>
      <c r="U420" s="60" t="s">
        <v>108</v>
      </c>
      <c r="V420" s="60" t="s">
        <v>92</v>
      </c>
      <c r="W420" s="60" t="s">
        <v>93</v>
      </c>
      <c r="X420" s="63" t="s">
        <v>102</v>
      </c>
    </row>
    <row r="421" spans="1:24">
      <c r="A421" s="60">
        <v>28</v>
      </c>
      <c r="B421" s="61" t="s">
        <v>1733</v>
      </c>
      <c r="C421" s="62" t="s">
        <v>1734</v>
      </c>
      <c r="D421" s="62" t="s">
        <v>488</v>
      </c>
      <c r="E421" s="60" t="s">
        <v>178</v>
      </c>
      <c r="F421" s="60" t="s">
        <v>87</v>
      </c>
      <c r="G421" s="60" t="s">
        <v>150</v>
      </c>
      <c r="H421" s="60" t="s">
        <v>707</v>
      </c>
      <c r="I421" s="60" t="s">
        <v>90</v>
      </c>
      <c r="J421" s="60" t="s">
        <v>3</v>
      </c>
      <c r="K421" s="60" t="s">
        <v>3</v>
      </c>
      <c r="L421" s="60" t="s">
        <v>87</v>
      </c>
      <c r="M421" s="60">
        <v>41</v>
      </c>
      <c r="N421" s="60" t="s">
        <v>87</v>
      </c>
      <c r="O421" s="60">
        <v>5</v>
      </c>
      <c r="P421" s="60" t="s">
        <v>708</v>
      </c>
      <c r="Q421" s="60" t="s">
        <v>92</v>
      </c>
      <c r="R421" s="60" t="s">
        <v>92</v>
      </c>
      <c r="S421" s="60" t="s">
        <v>92</v>
      </c>
      <c r="T421" s="60" t="s">
        <v>94</v>
      </c>
      <c r="U421" s="60" t="s">
        <v>108</v>
      </c>
      <c r="V421" s="60" t="s">
        <v>94</v>
      </c>
      <c r="W421" s="60" t="s">
        <v>93</v>
      </c>
      <c r="X421" s="63" t="s">
        <v>95</v>
      </c>
    </row>
    <row r="422" spans="1:24">
      <c r="A422" s="60">
        <v>387</v>
      </c>
      <c r="B422" s="61" t="s">
        <v>1735</v>
      </c>
      <c r="C422" s="62" t="s">
        <v>1736</v>
      </c>
      <c r="D422" s="62" t="s">
        <v>126</v>
      </c>
      <c r="E422" s="60" t="s">
        <v>123</v>
      </c>
      <c r="F422" s="60" t="s">
        <v>87</v>
      </c>
      <c r="G422" s="60" t="s">
        <v>164</v>
      </c>
      <c r="H422" s="60" t="s">
        <v>707</v>
      </c>
      <c r="I422" s="60" t="s">
        <v>90</v>
      </c>
      <c r="J422" s="60" t="s">
        <v>3</v>
      </c>
      <c r="K422" s="60" t="s">
        <v>3</v>
      </c>
      <c r="L422" s="60" t="s">
        <v>87</v>
      </c>
      <c r="M422" s="60">
        <v>38</v>
      </c>
      <c r="N422" s="60" t="s">
        <v>87</v>
      </c>
      <c r="O422" s="60">
        <v>15</v>
      </c>
      <c r="P422" s="60" t="s">
        <v>836</v>
      </c>
      <c r="Q422" s="60" t="s">
        <v>24</v>
      </c>
      <c r="R422" s="60" t="s">
        <v>20</v>
      </c>
      <c r="S422" s="60" t="s">
        <v>92</v>
      </c>
      <c r="T422" s="60" t="s">
        <v>94</v>
      </c>
      <c r="U422" s="60" t="s">
        <v>101</v>
      </c>
      <c r="V422" s="60" t="s">
        <v>92</v>
      </c>
      <c r="W422" s="60" t="s">
        <v>93</v>
      </c>
      <c r="X422" s="63" t="s">
        <v>95</v>
      </c>
    </row>
    <row r="423" spans="1:24">
      <c r="A423" s="60">
        <v>1230</v>
      </c>
      <c r="B423" s="61" t="s">
        <v>1737</v>
      </c>
      <c r="C423" s="62" t="s">
        <v>1738</v>
      </c>
      <c r="D423" s="62" t="s">
        <v>140</v>
      </c>
      <c r="E423" s="60" t="s">
        <v>106</v>
      </c>
      <c r="F423" s="60" t="s">
        <v>170</v>
      </c>
      <c r="G423" s="60" t="s">
        <v>117</v>
      </c>
      <c r="H423" s="60" t="s">
        <v>707</v>
      </c>
      <c r="I423" s="60" t="s">
        <v>90</v>
      </c>
      <c r="J423" s="60" t="s">
        <v>2</v>
      </c>
      <c r="K423" s="60" t="s">
        <v>2</v>
      </c>
      <c r="L423" s="60" t="s">
        <v>87</v>
      </c>
      <c r="M423" s="60">
        <v>100</v>
      </c>
      <c r="N423" s="60" t="s">
        <v>87</v>
      </c>
      <c r="O423" s="60">
        <v>1</v>
      </c>
      <c r="P423" s="60" t="s">
        <v>729</v>
      </c>
      <c r="Q423" s="60" t="s">
        <v>92</v>
      </c>
      <c r="R423" s="60" t="s">
        <v>21</v>
      </c>
      <c r="S423" s="60" t="s">
        <v>37</v>
      </c>
      <c r="T423" s="60" t="s">
        <v>94</v>
      </c>
      <c r="U423" s="60" t="s">
        <v>90</v>
      </c>
      <c r="V423" s="60" t="s">
        <v>94</v>
      </c>
      <c r="W423" s="60" t="s">
        <v>93</v>
      </c>
      <c r="X423" s="63" t="s">
        <v>95</v>
      </c>
    </row>
    <row r="424" spans="1:24">
      <c r="A424" s="60">
        <v>1275</v>
      </c>
      <c r="B424" s="61" t="s">
        <v>1739</v>
      </c>
      <c r="C424" s="62" t="s">
        <v>1740</v>
      </c>
      <c r="D424" s="62" t="s">
        <v>1006</v>
      </c>
      <c r="E424" s="60" t="s">
        <v>226</v>
      </c>
      <c r="F424" s="60" t="s">
        <v>170</v>
      </c>
      <c r="G424" s="60" t="s">
        <v>155</v>
      </c>
      <c r="H424" s="60" t="s">
        <v>100</v>
      </c>
      <c r="I424" s="60" t="s">
        <v>101</v>
      </c>
      <c r="J424" s="60" t="s">
        <v>2</v>
      </c>
      <c r="K424" s="60" t="s">
        <v>2</v>
      </c>
      <c r="L424" s="60">
        <v>200</v>
      </c>
      <c r="M424" s="60">
        <v>100</v>
      </c>
      <c r="N424" s="60">
        <v>2</v>
      </c>
      <c r="O424" s="60">
        <v>1</v>
      </c>
      <c r="P424" s="60" t="s">
        <v>172</v>
      </c>
      <c r="Q424" s="60" t="s">
        <v>92</v>
      </c>
      <c r="R424" s="60" t="s">
        <v>21</v>
      </c>
      <c r="S424" s="60" t="s">
        <v>38</v>
      </c>
      <c r="T424" s="60" t="s">
        <v>94</v>
      </c>
      <c r="U424" s="60" t="s">
        <v>108</v>
      </c>
      <c r="V424" s="60" t="s">
        <v>94</v>
      </c>
      <c r="W424" s="60" t="s">
        <v>90</v>
      </c>
      <c r="X424" s="63" t="s">
        <v>102</v>
      </c>
    </row>
    <row r="425" spans="1:24">
      <c r="A425" s="60">
        <v>167</v>
      </c>
      <c r="B425" s="61" t="s">
        <v>1741</v>
      </c>
      <c r="C425" s="62" t="s">
        <v>1742</v>
      </c>
      <c r="D425" s="62" t="s">
        <v>490</v>
      </c>
      <c r="E425" s="60" t="s">
        <v>157</v>
      </c>
      <c r="F425" s="60" t="s">
        <v>87</v>
      </c>
      <c r="G425" s="60" t="s">
        <v>164</v>
      </c>
      <c r="H425" s="60" t="s">
        <v>100</v>
      </c>
      <c r="I425" s="60" t="s">
        <v>101</v>
      </c>
      <c r="J425" s="60" t="s">
        <v>2</v>
      </c>
      <c r="K425" s="60" t="s">
        <v>2</v>
      </c>
      <c r="L425" s="60">
        <v>204</v>
      </c>
      <c r="M425" s="60" t="s">
        <v>87</v>
      </c>
      <c r="N425" s="60">
        <v>10</v>
      </c>
      <c r="O425" s="60" t="s">
        <v>87</v>
      </c>
      <c r="P425" s="60">
        <v>10</v>
      </c>
      <c r="Q425" s="60" t="s">
        <v>22</v>
      </c>
      <c r="R425" s="60" t="s">
        <v>20</v>
      </c>
      <c r="S425" s="60" t="s">
        <v>92</v>
      </c>
      <c r="T425" s="60" t="s">
        <v>94</v>
      </c>
      <c r="U425" s="60" t="s">
        <v>101</v>
      </c>
      <c r="V425" s="60" t="s">
        <v>92</v>
      </c>
      <c r="W425" s="60" t="s">
        <v>93</v>
      </c>
      <c r="X425" s="63" t="s">
        <v>102</v>
      </c>
    </row>
    <row r="426" spans="1:24">
      <c r="A426" s="60">
        <v>1146</v>
      </c>
      <c r="B426" s="61" t="s">
        <v>1743</v>
      </c>
      <c r="C426" s="62" t="s">
        <v>1744</v>
      </c>
      <c r="D426" s="62" t="s">
        <v>97</v>
      </c>
      <c r="E426" s="60" t="s">
        <v>149</v>
      </c>
      <c r="F426" s="60" t="s">
        <v>87</v>
      </c>
      <c r="G426" s="60" t="s">
        <v>117</v>
      </c>
      <c r="H426" s="60" t="s">
        <v>707</v>
      </c>
      <c r="I426" s="60" t="s">
        <v>101</v>
      </c>
      <c r="J426" s="60" t="s">
        <v>2</v>
      </c>
      <c r="K426" s="60" t="s">
        <v>3</v>
      </c>
      <c r="L426" s="60" t="s">
        <v>87</v>
      </c>
      <c r="M426" s="60">
        <v>28</v>
      </c>
      <c r="N426" s="60" t="s">
        <v>87</v>
      </c>
      <c r="O426" s="60">
        <v>3</v>
      </c>
      <c r="P426" s="60" t="s">
        <v>727</v>
      </c>
      <c r="Q426" s="60" t="s">
        <v>92</v>
      </c>
      <c r="R426" s="60" t="s">
        <v>92</v>
      </c>
      <c r="S426" s="60" t="s">
        <v>37</v>
      </c>
      <c r="T426" s="60" t="s">
        <v>94</v>
      </c>
      <c r="U426" s="60" t="s">
        <v>93</v>
      </c>
      <c r="V426" s="60" t="s">
        <v>92</v>
      </c>
      <c r="W426" s="60" t="s">
        <v>93</v>
      </c>
      <c r="X426" s="63" t="s">
        <v>102</v>
      </c>
    </row>
    <row r="427" spans="1:24">
      <c r="A427" s="60">
        <v>1160</v>
      </c>
      <c r="B427" s="61" t="s">
        <v>1007</v>
      </c>
      <c r="C427" s="62" t="s">
        <v>1008</v>
      </c>
      <c r="D427" s="62" t="s">
        <v>1009</v>
      </c>
      <c r="E427" s="60" t="s">
        <v>127</v>
      </c>
      <c r="F427" s="60" t="s">
        <v>87</v>
      </c>
      <c r="G427" s="60" t="s">
        <v>150</v>
      </c>
      <c r="H427" s="60" t="s">
        <v>707</v>
      </c>
      <c r="I427" s="60" t="s">
        <v>90</v>
      </c>
      <c r="J427" s="60" t="s">
        <v>2</v>
      </c>
      <c r="K427" s="60" t="s">
        <v>2</v>
      </c>
      <c r="L427" s="60" t="s">
        <v>87</v>
      </c>
      <c r="M427" s="60">
        <v>21</v>
      </c>
      <c r="N427" s="60" t="s">
        <v>87</v>
      </c>
      <c r="O427" s="60">
        <v>6</v>
      </c>
      <c r="P427" s="60" t="s">
        <v>740</v>
      </c>
      <c r="Q427" s="60" t="s">
        <v>92</v>
      </c>
      <c r="R427" s="60" t="s">
        <v>21</v>
      </c>
      <c r="S427" s="60" t="s">
        <v>92</v>
      </c>
      <c r="T427" s="60" t="s">
        <v>94</v>
      </c>
      <c r="U427" s="60" t="s">
        <v>108</v>
      </c>
      <c r="V427" s="60" t="s">
        <v>94</v>
      </c>
      <c r="W427" s="60" t="s">
        <v>90</v>
      </c>
      <c r="X427" s="63" t="s">
        <v>95</v>
      </c>
    </row>
    <row r="428" spans="1:24">
      <c r="A428" s="60">
        <v>203</v>
      </c>
      <c r="B428" s="61" t="s">
        <v>1745</v>
      </c>
      <c r="C428" s="62" t="s">
        <v>1746</v>
      </c>
      <c r="D428" s="62" t="s">
        <v>421</v>
      </c>
      <c r="E428" s="60" t="s">
        <v>218</v>
      </c>
      <c r="F428" s="60" t="s">
        <v>87</v>
      </c>
      <c r="G428" s="60" t="s">
        <v>182</v>
      </c>
      <c r="H428" s="60" t="s">
        <v>100</v>
      </c>
      <c r="I428" s="60" t="s">
        <v>101</v>
      </c>
      <c r="J428" s="60" t="s">
        <v>71</v>
      </c>
      <c r="K428" s="60" t="s">
        <v>2</v>
      </c>
      <c r="L428" s="60">
        <v>44</v>
      </c>
      <c r="M428" s="60">
        <v>15</v>
      </c>
      <c r="N428" s="60">
        <v>6</v>
      </c>
      <c r="O428" s="60" t="s">
        <v>91</v>
      </c>
      <c r="P428" s="60" t="s">
        <v>159</v>
      </c>
      <c r="Q428" s="60" t="s">
        <v>92</v>
      </c>
      <c r="R428" s="60" t="s">
        <v>92</v>
      </c>
      <c r="S428" s="60" t="s">
        <v>92</v>
      </c>
      <c r="T428" s="60" t="s">
        <v>94</v>
      </c>
      <c r="U428" s="60" t="s">
        <v>108</v>
      </c>
      <c r="V428" s="60" t="s">
        <v>92</v>
      </c>
      <c r="W428" s="60" t="s">
        <v>93</v>
      </c>
      <c r="X428" s="63" t="s">
        <v>102</v>
      </c>
    </row>
    <row r="429" spans="1:24">
      <c r="A429" s="60">
        <v>1252</v>
      </c>
      <c r="B429" s="61" t="s">
        <v>491</v>
      </c>
      <c r="C429" s="62" t="s">
        <v>492</v>
      </c>
      <c r="D429" s="62" t="s">
        <v>493</v>
      </c>
      <c r="E429" s="60" t="s">
        <v>328</v>
      </c>
      <c r="F429" s="60" t="s">
        <v>87</v>
      </c>
      <c r="G429" s="60" t="s">
        <v>117</v>
      </c>
      <c r="H429" s="60" t="s">
        <v>707</v>
      </c>
      <c r="I429" s="60" t="s">
        <v>101</v>
      </c>
      <c r="J429" s="60" t="s">
        <v>2</v>
      </c>
      <c r="K429" s="60" t="s">
        <v>2</v>
      </c>
      <c r="L429" s="60" t="s">
        <v>87</v>
      </c>
      <c r="M429" s="60">
        <v>8</v>
      </c>
      <c r="N429" s="60" t="s">
        <v>87</v>
      </c>
      <c r="O429" s="60">
        <v>8</v>
      </c>
      <c r="P429" s="60" t="s">
        <v>714</v>
      </c>
      <c r="Q429" s="60" t="s">
        <v>19</v>
      </c>
      <c r="R429" s="60" t="s">
        <v>20</v>
      </c>
      <c r="S429" s="60" t="s">
        <v>37</v>
      </c>
      <c r="T429" s="60" t="s">
        <v>94</v>
      </c>
      <c r="U429" s="60" t="s">
        <v>90</v>
      </c>
      <c r="V429" s="60" t="s">
        <v>94</v>
      </c>
      <c r="W429" s="60" t="s">
        <v>93</v>
      </c>
      <c r="X429" s="63" t="s">
        <v>102</v>
      </c>
    </row>
    <row r="430" spans="1:24">
      <c r="A430" s="60">
        <v>772</v>
      </c>
      <c r="B430" s="61" t="s">
        <v>1010</v>
      </c>
      <c r="C430" s="62" t="s">
        <v>1011</v>
      </c>
      <c r="D430" s="62" t="s">
        <v>185</v>
      </c>
      <c r="E430" s="60" t="s">
        <v>194</v>
      </c>
      <c r="F430" s="60" t="s">
        <v>87</v>
      </c>
      <c r="G430" s="60" t="s">
        <v>88</v>
      </c>
      <c r="H430" s="60" t="s">
        <v>707</v>
      </c>
      <c r="I430" s="60" t="s">
        <v>101</v>
      </c>
      <c r="J430" s="60" t="s">
        <v>2</v>
      </c>
      <c r="K430" s="60" t="s">
        <v>2</v>
      </c>
      <c r="L430" s="60" t="s">
        <v>87</v>
      </c>
      <c r="M430" s="60">
        <v>77</v>
      </c>
      <c r="N430" s="60" t="s">
        <v>87</v>
      </c>
      <c r="O430" s="60">
        <v>17</v>
      </c>
      <c r="P430" s="60" t="s">
        <v>748</v>
      </c>
      <c r="Q430" s="60" t="s">
        <v>22</v>
      </c>
      <c r="R430" s="60" t="s">
        <v>20</v>
      </c>
      <c r="S430" s="60" t="s">
        <v>37</v>
      </c>
      <c r="T430" s="60" t="s">
        <v>94</v>
      </c>
      <c r="U430" s="60" t="s">
        <v>108</v>
      </c>
      <c r="V430" s="60" t="s">
        <v>92</v>
      </c>
      <c r="W430" s="60" t="s">
        <v>108</v>
      </c>
      <c r="X430" s="63" t="s">
        <v>102</v>
      </c>
    </row>
    <row r="431" spans="1:24">
      <c r="A431" s="60">
        <v>927</v>
      </c>
      <c r="B431" s="61" t="s">
        <v>1232</v>
      </c>
      <c r="C431" s="62" t="s">
        <v>1233</v>
      </c>
      <c r="D431" s="62" t="s">
        <v>1234</v>
      </c>
      <c r="E431" s="60" t="s">
        <v>127</v>
      </c>
      <c r="F431" s="60" t="s">
        <v>87</v>
      </c>
      <c r="G431" s="60" t="s">
        <v>112</v>
      </c>
      <c r="H431" s="60" t="s">
        <v>707</v>
      </c>
      <c r="I431" s="60" t="s">
        <v>90</v>
      </c>
      <c r="J431" s="60" t="s">
        <v>2</v>
      </c>
      <c r="K431" s="60" t="s">
        <v>2</v>
      </c>
      <c r="L431" s="60" t="s">
        <v>87</v>
      </c>
      <c r="M431" s="60">
        <v>14</v>
      </c>
      <c r="N431" s="60" t="s">
        <v>87</v>
      </c>
      <c r="O431" s="60">
        <v>4</v>
      </c>
      <c r="P431" s="60" t="s">
        <v>754</v>
      </c>
      <c r="Q431" s="60" t="s">
        <v>92</v>
      </c>
      <c r="R431" s="60" t="s">
        <v>21</v>
      </c>
      <c r="S431" s="60" t="s">
        <v>3</v>
      </c>
      <c r="T431" s="60" t="s">
        <v>94</v>
      </c>
      <c r="U431" s="60" t="s">
        <v>93</v>
      </c>
      <c r="V431" s="60" t="s">
        <v>92</v>
      </c>
      <c r="W431" s="60" t="s">
        <v>90</v>
      </c>
      <c r="X431" s="63" t="s">
        <v>95</v>
      </c>
    </row>
    <row r="432" spans="1:24">
      <c r="A432" s="60">
        <v>1015</v>
      </c>
      <c r="B432" s="61" t="s">
        <v>1747</v>
      </c>
      <c r="C432" s="62" t="s">
        <v>1748</v>
      </c>
      <c r="D432" s="62" t="s">
        <v>227</v>
      </c>
      <c r="E432" s="60" t="s">
        <v>98</v>
      </c>
      <c r="F432" s="60" t="s">
        <v>170</v>
      </c>
      <c r="G432" s="60" t="s">
        <v>117</v>
      </c>
      <c r="H432" s="60" t="s">
        <v>707</v>
      </c>
      <c r="I432" s="60" t="s">
        <v>90</v>
      </c>
      <c r="J432" s="60" t="s">
        <v>2</v>
      </c>
      <c r="K432" s="60" t="s">
        <v>2</v>
      </c>
      <c r="L432" s="60" t="s">
        <v>87</v>
      </c>
      <c r="M432" s="60">
        <v>100</v>
      </c>
      <c r="N432" s="60" t="s">
        <v>87</v>
      </c>
      <c r="O432" s="60">
        <v>1</v>
      </c>
      <c r="P432" s="60" t="s">
        <v>729</v>
      </c>
      <c r="Q432" s="60" t="s">
        <v>22</v>
      </c>
      <c r="R432" s="60" t="s">
        <v>21</v>
      </c>
      <c r="S432" s="60" t="s">
        <v>38</v>
      </c>
      <c r="T432" s="60" t="s">
        <v>92</v>
      </c>
      <c r="U432" s="60" t="s">
        <v>101</v>
      </c>
      <c r="V432" s="60" t="s">
        <v>92</v>
      </c>
      <c r="W432" s="60" t="s">
        <v>93</v>
      </c>
      <c r="X432" s="63" t="s">
        <v>95</v>
      </c>
    </row>
    <row r="433" spans="1:24">
      <c r="A433" s="60">
        <v>46</v>
      </c>
      <c r="B433" s="61" t="s">
        <v>495</v>
      </c>
      <c r="C433" s="62" t="s">
        <v>496</v>
      </c>
      <c r="D433" s="62" t="s">
        <v>252</v>
      </c>
      <c r="E433" s="60" t="s">
        <v>86</v>
      </c>
      <c r="F433" s="60" t="s">
        <v>87</v>
      </c>
      <c r="G433" s="60" t="s">
        <v>164</v>
      </c>
      <c r="H433" s="60" t="s">
        <v>100</v>
      </c>
      <c r="I433" s="60" t="s">
        <v>101</v>
      </c>
      <c r="J433" s="60" t="s">
        <v>3</v>
      </c>
      <c r="K433" s="60" t="s">
        <v>3</v>
      </c>
      <c r="L433" s="60">
        <v>194</v>
      </c>
      <c r="M433" s="60" t="s">
        <v>87</v>
      </c>
      <c r="N433" s="60">
        <v>6</v>
      </c>
      <c r="O433" s="60" t="s">
        <v>87</v>
      </c>
      <c r="P433" s="60">
        <v>6</v>
      </c>
      <c r="Q433" s="60" t="s">
        <v>92</v>
      </c>
      <c r="R433" s="60" t="s">
        <v>92</v>
      </c>
      <c r="S433" s="60" t="s">
        <v>92</v>
      </c>
      <c r="T433" s="60" t="s">
        <v>92</v>
      </c>
      <c r="U433" s="60" t="s">
        <v>108</v>
      </c>
      <c r="V433" s="60" t="s">
        <v>92</v>
      </c>
      <c r="W433" s="60" t="s">
        <v>108</v>
      </c>
      <c r="X433" s="63" t="s">
        <v>102</v>
      </c>
    </row>
    <row r="434" spans="1:24">
      <c r="A434" s="60">
        <v>295</v>
      </c>
      <c r="B434" s="61" t="s">
        <v>1012</v>
      </c>
      <c r="C434" s="62" t="s">
        <v>498</v>
      </c>
      <c r="D434" s="62" t="s">
        <v>97</v>
      </c>
      <c r="E434" s="60" t="s">
        <v>408</v>
      </c>
      <c r="F434" s="60" t="s">
        <v>87</v>
      </c>
      <c r="G434" s="60" t="s">
        <v>88</v>
      </c>
      <c r="H434" s="60" t="s">
        <v>707</v>
      </c>
      <c r="I434" s="60" t="s">
        <v>90</v>
      </c>
      <c r="J434" s="60" t="s">
        <v>3</v>
      </c>
      <c r="K434" s="60" t="s">
        <v>3</v>
      </c>
      <c r="L434" s="60" t="s">
        <v>87</v>
      </c>
      <c r="M434" s="60">
        <v>62</v>
      </c>
      <c r="N434" s="60" t="s">
        <v>87</v>
      </c>
      <c r="O434" s="60">
        <v>20</v>
      </c>
      <c r="P434" s="60" t="s">
        <v>788</v>
      </c>
      <c r="Q434" s="60" t="s">
        <v>24</v>
      </c>
      <c r="R434" s="60" t="s">
        <v>92</v>
      </c>
      <c r="S434" s="60" t="s">
        <v>92</v>
      </c>
      <c r="T434" s="60" t="s">
        <v>94</v>
      </c>
      <c r="U434" s="60" t="s">
        <v>101</v>
      </c>
      <c r="V434" s="60" t="s">
        <v>92</v>
      </c>
      <c r="W434" s="60" t="s">
        <v>90</v>
      </c>
      <c r="X434" s="63" t="s">
        <v>95</v>
      </c>
    </row>
    <row r="435" spans="1:24">
      <c r="A435" s="60">
        <v>600</v>
      </c>
      <c r="B435" s="61" t="s">
        <v>1381</v>
      </c>
      <c r="C435" s="62" t="s">
        <v>498</v>
      </c>
      <c r="D435" s="62" t="s">
        <v>353</v>
      </c>
      <c r="E435" s="60" t="s">
        <v>163</v>
      </c>
      <c r="F435" s="60" t="s">
        <v>87</v>
      </c>
      <c r="G435" s="60" t="s">
        <v>164</v>
      </c>
      <c r="H435" s="60" t="s">
        <v>707</v>
      </c>
      <c r="I435" s="60" t="s">
        <v>90</v>
      </c>
      <c r="J435" s="60" t="s">
        <v>2</v>
      </c>
      <c r="K435" s="60" t="s">
        <v>2</v>
      </c>
      <c r="L435" s="60" t="s">
        <v>87</v>
      </c>
      <c r="M435" s="60">
        <v>34</v>
      </c>
      <c r="N435" s="60" t="s">
        <v>87</v>
      </c>
      <c r="O435" s="60">
        <v>5</v>
      </c>
      <c r="P435" s="60" t="s">
        <v>708</v>
      </c>
      <c r="Q435" s="60" t="s">
        <v>24</v>
      </c>
      <c r="R435" s="60" t="s">
        <v>92</v>
      </c>
      <c r="S435" s="60" t="s">
        <v>37</v>
      </c>
      <c r="T435" s="60" t="s">
        <v>94</v>
      </c>
      <c r="U435" s="60" t="s">
        <v>108</v>
      </c>
      <c r="V435" s="60" t="s">
        <v>94</v>
      </c>
      <c r="W435" s="60" t="s">
        <v>93</v>
      </c>
      <c r="X435" s="63" t="s">
        <v>95</v>
      </c>
    </row>
    <row r="436" spans="1:24">
      <c r="A436" s="60">
        <v>496</v>
      </c>
      <c r="B436" s="61" t="s">
        <v>497</v>
      </c>
      <c r="C436" s="62" t="s">
        <v>498</v>
      </c>
      <c r="D436" s="62" t="s">
        <v>499</v>
      </c>
      <c r="E436" s="60" t="s">
        <v>149</v>
      </c>
      <c r="F436" s="60" t="s">
        <v>87</v>
      </c>
      <c r="G436" s="60" t="s">
        <v>112</v>
      </c>
      <c r="H436" s="60" t="s">
        <v>100</v>
      </c>
      <c r="I436" s="60" t="s">
        <v>90</v>
      </c>
      <c r="J436" s="60" t="s">
        <v>2</v>
      </c>
      <c r="K436" s="60" t="s">
        <v>2</v>
      </c>
      <c r="L436" s="60">
        <v>206</v>
      </c>
      <c r="M436" s="60" t="s">
        <v>87</v>
      </c>
      <c r="N436" s="60">
        <v>11</v>
      </c>
      <c r="O436" s="60" t="s">
        <v>87</v>
      </c>
      <c r="P436" s="60">
        <v>11</v>
      </c>
      <c r="Q436" s="60" t="s">
        <v>22</v>
      </c>
      <c r="R436" s="60" t="s">
        <v>92</v>
      </c>
      <c r="S436" s="60" t="s">
        <v>37</v>
      </c>
      <c r="T436" s="60" t="s">
        <v>92</v>
      </c>
      <c r="U436" s="60" t="s">
        <v>101</v>
      </c>
      <c r="V436" s="60" t="s">
        <v>92</v>
      </c>
      <c r="W436" s="60" t="s">
        <v>93</v>
      </c>
      <c r="X436" s="63" t="s">
        <v>95</v>
      </c>
    </row>
    <row r="437" spans="1:24">
      <c r="A437" s="60">
        <v>1053</v>
      </c>
      <c r="B437" s="61" t="s">
        <v>1382</v>
      </c>
      <c r="C437" s="62" t="s">
        <v>1383</v>
      </c>
      <c r="D437" s="62" t="s">
        <v>367</v>
      </c>
      <c r="E437" s="60" t="s">
        <v>50</v>
      </c>
      <c r="F437" s="60" t="s">
        <v>87</v>
      </c>
      <c r="G437" s="60" t="s">
        <v>88</v>
      </c>
      <c r="H437" s="60" t="s">
        <v>100</v>
      </c>
      <c r="I437" s="60" t="s">
        <v>101</v>
      </c>
      <c r="J437" s="60" t="s">
        <v>2</v>
      </c>
      <c r="K437" s="60" t="s">
        <v>3</v>
      </c>
      <c r="L437" s="60">
        <v>5</v>
      </c>
      <c r="M437" s="60" t="s">
        <v>87</v>
      </c>
      <c r="N437" s="60">
        <v>3</v>
      </c>
      <c r="O437" s="60" t="s">
        <v>87</v>
      </c>
      <c r="P437" s="60">
        <v>3</v>
      </c>
      <c r="Q437" s="60" t="s">
        <v>92</v>
      </c>
      <c r="R437" s="60" t="s">
        <v>20</v>
      </c>
      <c r="S437" s="60" t="s">
        <v>3</v>
      </c>
      <c r="T437" s="60" t="s">
        <v>92</v>
      </c>
      <c r="U437" s="60" t="s">
        <v>101</v>
      </c>
      <c r="V437" s="60" t="s">
        <v>92</v>
      </c>
      <c r="W437" s="60" t="s">
        <v>90</v>
      </c>
      <c r="X437" s="63" t="s">
        <v>102</v>
      </c>
    </row>
    <row r="438" spans="1:24">
      <c r="A438" s="60">
        <v>259</v>
      </c>
      <c r="B438" s="61" t="s">
        <v>500</v>
      </c>
      <c r="C438" s="62" t="s">
        <v>501</v>
      </c>
      <c r="D438" s="62" t="s">
        <v>369</v>
      </c>
      <c r="E438" s="60" t="s">
        <v>98</v>
      </c>
      <c r="F438" s="60" t="s">
        <v>87</v>
      </c>
      <c r="G438" s="60" t="s">
        <v>164</v>
      </c>
      <c r="H438" s="60" t="s">
        <v>100</v>
      </c>
      <c r="I438" s="60" t="s">
        <v>101</v>
      </c>
      <c r="J438" s="60" t="s">
        <v>3</v>
      </c>
      <c r="K438" s="60" t="s">
        <v>3</v>
      </c>
      <c r="L438" s="60">
        <v>128</v>
      </c>
      <c r="M438" s="60">
        <v>1</v>
      </c>
      <c r="N438" s="60">
        <v>9</v>
      </c>
      <c r="O438" s="60" t="s">
        <v>368</v>
      </c>
      <c r="P438" s="60" t="s">
        <v>340</v>
      </c>
      <c r="Q438" s="60" t="s">
        <v>92</v>
      </c>
      <c r="R438" s="60" t="s">
        <v>92</v>
      </c>
      <c r="S438" s="60" t="s">
        <v>92</v>
      </c>
      <c r="T438" s="60" t="s">
        <v>94</v>
      </c>
      <c r="U438" s="60" t="s">
        <v>101</v>
      </c>
      <c r="V438" s="60" t="s">
        <v>92</v>
      </c>
      <c r="W438" s="60" t="s">
        <v>93</v>
      </c>
      <c r="X438" s="63" t="s">
        <v>102</v>
      </c>
    </row>
    <row r="439" spans="1:24">
      <c r="A439" s="60">
        <v>300</v>
      </c>
      <c r="B439" s="61" t="s">
        <v>1384</v>
      </c>
      <c r="C439" s="62" t="s">
        <v>1385</v>
      </c>
      <c r="D439" s="62" t="s">
        <v>1015</v>
      </c>
      <c r="E439" s="60" t="s">
        <v>408</v>
      </c>
      <c r="F439" s="60" t="s">
        <v>87</v>
      </c>
      <c r="G439" s="60" t="s">
        <v>112</v>
      </c>
      <c r="H439" s="60" t="s">
        <v>89</v>
      </c>
      <c r="I439" s="60" t="s">
        <v>90</v>
      </c>
      <c r="J439" s="60" t="s">
        <v>3</v>
      </c>
      <c r="K439" s="60" t="s">
        <v>2</v>
      </c>
      <c r="L439" s="60">
        <v>6</v>
      </c>
      <c r="M439" s="60">
        <v>24</v>
      </c>
      <c r="N439" s="60">
        <v>3</v>
      </c>
      <c r="O439" s="60" t="s">
        <v>118</v>
      </c>
      <c r="P439" s="60" t="s">
        <v>119</v>
      </c>
      <c r="Q439" s="60" t="s">
        <v>22</v>
      </c>
      <c r="R439" s="60" t="s">
        <v>21</v>
      </c>
      <c r="S439" s="60" t="s">
        <v>92</v>
      </c>
      <c r="T439" s="60" t="s">
        <v>94</v>
      </c>
      <c r="U439" s="60" t="s">
        <v>108</v>
      </c>
      <c r="V439" s="60" t="s">
        <v>92</v>
      </c>
      <c r="W439" s="60" t="s">
        <v>93</v>
      </c>
      <c r="X439" s="63" t="s">
        <v>95</v>
      </c>
    </row>
    <row r="440" spans="1:24">
      <c r="A440" s="60">
        <v>935</v>
      </c>
      <c r="B440" s="61" t="s">
        <v>1749</v>
      </c>
      <c r="C440" s="62" t="s">
        <v>1750</v>
      </c>
      <c r="D440" s="62" t="s">
        <v>887</v>
      </c>
      <c r="E440" s="60" t="s">
        <v>133</v>
      </c>
      <c r="F440" s="60" t="s">
        <v>87</v>
      </c>
      <c r="G440" s="60" t="s">
        <v>147</v>
      </c>
      <c r="H440" s="60" t="s">
        <v>89</v>
      </c>
      <c r="I440" s="60" t="s">
        <v>101</v>
      </c>
      <c r="J440" s="60" t="s">
        <v>2</v>
      </c>
      <c r="K440" s="60" t="s">
        <v>2</v>
      </c>
      <c r="L440" s="60">
        <v>7</v>
      </c>
      <c r="M440" s="60">
        <v>8</v>
      </c>
      <c r="N440" s="60">
        <v>3</v>
      </c>
      <c r="O440" s="60" t="s">
        <v>118</v>
      </c>
      <c r="P440" s="60" t="s">
        <v>119</v>
      </c>
      <c r="Q440" s="60" t="s">
        <v>24</v>
      </c>
      <c r="R440" s="60" t="s">
        <v>21</v>
      </c>
      <c r="S440" s="60" t="s">
        <v>37</v>
      </c>
      <c r="T440" s="60" t="s">
        <v>94</v>
      </c>
      <c r="U440" s="60" t="s">
        <v>93</v>
      </c>
      <c r="V440" s="60" t="s">
        <v>94</v>
      </c>
      <c r="W440" s="60" t="s">
        <v>93</v>
      </c>
      <c r="X440" s="63" t="s">
        <v>102</v>
      </c>
    </row>
    <row r="441" spans="1:24">
      <c r="A441" s="60">
        <v>1251</v>
      </c>
      <c r="B441" s="61" t="s">
        <v>1386</v>
      </c>
      <c r="C441" s="62" t="s">
        <v>1387</v>
      </c>
      <c r="D441" s="62" t="s">
        <v>774</v>
      </c>
      <c r="E441" s="60" t="s">
        <v>328</v>
      </c>
      <c r="F441" s="60" t="s">
        <v>87</v>
      </c>
      <c r="G441" s="60" t="s">
        <v>112</v>
      </c>
      <c r="H441" s="60" t="s">
        <v>100</v>
      </c>
      <c r="I441" s="60" t="s">
        <v>101</v>
      </c>
      <c r="J441" s="60" t="s">
        <v>2</v>
      </c>
      <c r="K441" s="60" t="s">
        <v>2</v>
      </c>
      <c r="L441" s="60">
        <v>6</v>
      </c>
      <c r="M441" s="60">
        <v>5</v>
      </c>
      <c r="N441" s="60">
        <v>3</v>
      </c>
      <c r="O441" s="60" t="s">
        <v>108</v>
      </c>
      <c r="P441" s="60" t="s">
        <v>134</v>
      </c>
      <c r="Q441" s="60" t="s">
        <v>24</v>
      </c>
      <c r="R441" s="60" t="s">
        <v>20</v>
      </c>
      <c r="S441" s="60" t="s">
        <v>37</v>
      </c>
      <c r="T441" s="60" t="s">
        <v>94</v>
      </c>
      <c r="U441" s="60" t="s">
        <v>90</v>
      </c>
      <c r="V441" s="60" t="s">
        <v>94</v>
      </c>
      <c r="W441" s="60" t="s">
        <v>93</v>
      </c>
      <c r="X441" s="63" t="s">
        <v>102</v>
      </c>
    </row>
    <row r="442" spans="1:24">
      <c r="A442" s="60">
        <v>350</v>
      </c>
      <c r="B442" s="61" t="s">
        <v>1751</v>
      </c>
      <c r="C442" s="62" t="s">
        <v>1752</v>
      </c>
      <c r="D442" s="62" t="s">
        <v>443</v>
      </c>
      <c r="E442" s="60" t="s">
        <v>152</v>
      </c>
      <c r="F442" s="60" t="s">
        <v>87</v>
      </c>
      <c r="G442" s="60" t="s">
        <v>117</v>
      </c>
      <c r="H442" s="60" t="s">
        <v>100</v>
      </c>
      <c r="I442" s="60" t="s">
        <v>101</v>
      </c>
      <c r="J442" s="60" t="s">
        <v>3</v>
      </c>
      <c r="K442" s="60" t="s">
        <v>3</v>
      </c>
      <c r="L442" s="60">
        <v>90</v>
      </c>
      <c r="M442" s="60" t="s">
        <v>87</v>
      </c>
      <c r="N442" s="60">
        <v>6</v>
      </c>
      <c r="O442" s="60" t="s">
        <v>87</v>
      </c>
      <c r="P442" s="60">
        <v>6</v>
      </c>
      <c r="Q442" s="60" t="s">
        <v>92</v>
      </c>
      <c r="R442" s="60" t="s">
        <v>21</v>
      </c>
      <c r="S442" s="60" t="s">
        <v>92</v>
      </c>
      <c r="T442" s="60" t="s">
        <v>94</v>
      </c>
      <c r="U442" s="60" t="s">
        <v>108</v>
      </c>
      <c r="V442" s="60" t="s">
        <v>92</v>
      </c>
      <c r="W442" s="60" t="s">
        <v>90</v>
      </c>
      <c r="X442" s="63" t="s">
        <v>102</v>
      </c>
    </row>
    <row r="443" spans="1:24">
      <c r="A443" s="60">
        <v>381</v>
      </c>
      <c r="B443" s="61" t="s">
        <v>502</v>
      </c>
      <c r="C443" s="62" t="s">
        <v>503</v>
      </c>
      <c r="D443" s="62" t="s">
        <v>201</v>
      </c>
      <c r="E443" s="60" t="s">
        <v>123</v>
      </c>
      <c r="F443" s="60" t="s">
        <v>87</v>
      </c>
      <c r="G443" s="60" t="s">
        <v>150</v>
      </c>
      <c r="H443" s="60" t="s">
        <v>100</v>
      </c>
      <c r="I443" s="60" t="s">
        <v>90</v>
      </c>
      <c r="J443" s="60" t="s">
        <v>3</v>
      </c>
      <c r="K443" s="60" t="s">
        <v>3</v>
      </c>
      <c r="L443" s="60">
        <v>63</v>
      </c>
      <c r="M443" s="60" t="s">
        <v>87</v>
      </c>
      <c r="N443" s="60">
        <v>4</v>
      </c>
      <c r="O443" s="60" t="s">
        <v>87</v>
      </c>
      <c r="P443" s="60">
        <v>4</v>
      </c>
      <c r="Q443" s="60" t="s">
        <v>92</v>
      </c>
      <c r="R443" s="60" t="s">
        <v>92</v>
      </c>
      <c r="S443" s="60" t="s">
        <v>3</v>
      </c>
      <c r="T443" s="60" t="s">
        <v>94</v>
      </c>
      <c r="U443" s="60" t="s">
        <v>108</v>
      </c>
      <c r="V443" s="60" t="s">
        <v>92</v>
      </c>
      <c r="W443" s="60" t="s">
        <v>101</v>
      </c>
      <c r="X443" s="63" t="s">
        <v>95</v>
      </c>
    </row>
    <row r="444" spans="1:24">
      <c r="A444" s="60">
        <v>207</v>
      </c>
      <c r="B444" s="61" t="s">
        <v>504</v>
      </c>
      <c r="C444" s="62" t="s">
        <v>505</v>
      </c>
      <c r="D444" s="62" t="s">
        <v>506</v>
      </c>
      <c r="E444" s="60" t="s">
        <v>218</v>
      </c>
      <c r="F444" s="60" t="s">
        <v>87</v>
      </c>
      <c r="G444" s="60" t="s">
        <v>182</v>
      </c>
      <c r="H444" s="60" t="s">
        <v>707</v>
      </c>
      <c r="I444" s="60" t="s">
        <v>90</v>
      </c>
      <c r="J444" s="60" t="s">
        <v>3</v>
      </c>
      <c r="K444" s="60" t="s">
        <v>3</v>
      </c>
      <c r="L444" s="60" t="s">
        <v>87</v>
      </c>
      <c r="M444" s="60">
        <v>63</v>
      </c>
      <c r="N444" s="60" t="s">
        <v>87</v>
      </c>
      <c r="O444" s="60">
        <v>11</v>
      </c>
      <c r="P444" s="60" t="s">
        <v>778</v>
      </c>
      <c r="Q444" s="60" t="s">
        <v>92</v>
      </c>
      <c r="R444" s="60" t="s">
        <v>20</v>
      </c>
      <c r="S444" s="60" t="s">
        <v>37</v>
      </c>
      <c r="T444" s="60" t="s">
        <v>92</v>
      </c>
      <c r="U444" s="60" t="s">
        <v>108</v>
      </c>
      <c r="V444" s="60" t="s">
        <v>92</v>
      </c>
      <c r="W444" s="60" t="s">
        <v>101</v>
      </c>
      <c r="X444" s="63" t="s">
        <v>95</v>
      </c>
    </row>
    <row r="445" spans="1:24">
      <c r="A445" s="60">
        <v>1033</v>
      </c>
      <c r="B445" s="61" t="s">
        <v>1753</v>
      </c>
      <c r="C445" s="62" t="s">
        <v>1754</v>
      </c>
      <c r="D445" s="62" t="s">
        <v>1755</v>
      </c>
      <c r="E445" s="60" t="s">
        <v>408</v>
      </c>
      <c r="F445" s="60" t="s">
        <v>87</v>
      </c>
      <c r="G445" s="60" t="s">
        <v>99</v>
      </c>
      <c r="H445" s="60" t="s">
        <v>707</v>
      </c>
      <c r="I445" s="60" t="s">
        <v>90</v>
      </c>
      <c r="J445" s="60" t="s">
        <v>2</v>
      </c>
      <c r="K445" s="60" t="s">
        <v>2</v>
      </c>
      <c r="L445" s="60" t="s">
        <v>87</v>
      </c>
      <c r="M445" s="60">
        <v>11</v>
      </c>
      <c r="N445" s="60" t="s">
        <v>87</v>
      </c>
      <c r="O445" s="60">
        <v>3</v>
      </c>
      <c r="P445" s="60" t="s">
        <v>727</v>
      </c>
      <c r="Q445" s="60" t="s">
        <v>92</v>
      </c>
      <c r="R445" s="60" t="s">
        <v>92</v>
      </c>
      <c r="S445" s="60" t="s">
        <v>92</v>
      </c>
      <c r="T445" s="60" t="s">
        <v>94</v>
      </c>
      <c r="U445" s="60" t="s">
        <v>108</v>
      </c>
      <c r="V445" s="60" t="s">
        <v>92</v>
      </c>
      <c r="W445" s="60" t="s">
        <v>93</v>
      </c>
      <c r="X445" s="63" t="s">
        <v>95</v>
      </c>
    </row>
    <row r="446" spans="1:24">
      <c r="A446" s="60">
        <v>737</v>
      </c>
      <c r="B446" s="61" t="s">
        <v>1756</v>
      </c>
      <c r="C446" s="62" t="s">
        <v>1757</v>
      </c>
      <c r="D446" s="62" t="s">
        <v>674</v>
      </c>
      <c r="E446" s="60" t="s">
        <v>226</v>
      </c>
      <c r="F446" s="60" t="s">
        <v>87</v>
      </c>
      <c r="G446" s="60" t="s">
        <v>117</v>
      </c>
      <c r="H446" s="60" t="s">
        <v>100</v>
      </c>
      <c r="I446" s="60" t="s">
        <v>101</v>
      </c>
      <c r="J446" s="60" t="s">
        <v>3</v>
      </c>
      <c r="K446" s="60" t="s">
        <v>3</v>
      </c>
      <c r="L446" s="60">
        <v>85</v>
      </c>
      <c r="M446" s="60" t="s">
        <v>87</v>
      </c>
      <c r="N446" s="60">
        <v>4</v>
      </c>
      <c r="O446" s="60" t="s">
        <v>87</v>
      </c>
      <c r="P446" s="60">
        <v>4</v>
      </c>
      <c r="Q446" s="60" t="s">
        <v>92</v>
      </c>
      <c r="R446" s="60" t="s">
        <v>20</v>
      </c>
      <c r="S446" s="60" t="s">
        <v>3</v>
      </c>
      <c r="T446" s="60" t="s">
        <v>92</v>
      </c>
      <c r="U446" s="60" t="s">
        <v>101</v>
      </c>
      <c r="V446" s="60" t="s">
        <v>92</v>
      </c>
      <c r="W446" s="60" t="s">
        <v>93</v>
      </c>
      <c r="X446" s="63" t="s">
        <v>102</v>
      </c>
    </row>
    <row r="447" spans="1:24">
      <c r="A447" s="60">
        <v>239</v>
      </c>
      <c r="B447" s="61" t="s">
        <v>1220</v>
      </c>
      <c r="C447" s="62" t="s">
        <v>1221</v>
      </c>
      <c r="D447" s="62" t="s">
        <v>443</v>
      </c>
      <c r="E447" s="60" t="s">
        <v>169</v>
      </c>
      <c r="F447" s="60" t="s">
        <v>170</v>
      </c>
      <c r="G447" s="60" t="s">
        <v>112</v>
      </c>
      <c r="H447" s="60" t="s">
        <v>707</v>
      </c>
      <c r="I447" s="60" t="s">
        <v>90</v>
      </c>
      <c r="J447" s="60" t="s">
        <v>2</v>
      </c>
      <c r="K447" s="60" t="s">
        <v>2</v>
      </c>
      <c r="L447" s="60" t="s">
        <v>87</v>
      </c>
      <c r="M447" s="60">
        <v>100</v>
      </c>
      <c r="N447" s="60" t="s">
        <v>87</v>
      </c>
      <c r="O447" s="60">
        <v>2</v>
      </c>
      <c r="P447" s="60" t="s">
        <v>807</v>
      </c>
      <c r="Q447" s="60" t="s">
        <v>24</v>
      </c>
      <c r="R447" s="60" t="s">
        <v>20</v>
      </c>
      <c r="S447" s="60" t="s">
        <v>92</v>
      </c>
      <c r="T447" s="60" t="s">
        <v>94</v>
      </c>
      <c r="U447" s="60" t="s">
        <v>93</v>
      </c>
      <c r="V447" s="60" t="s">
        <v>92</v>
      </c>
      <c r="W447" s="60" t="s">
        <v>93</v>
      </c>
      <c r="X447" s="63" t="s">
        <v>95</v>
      </c>
    </row>
    <row r="448" spans="1:24">
      <c r="A448" s="60">
        <v>1260</v>
      </c>
      <c r="B448" s="61" t="s">
        <v>1758</v>
      </c>
      <c r="C448" s="62" t="s">
        <v>1014</v>
      </c>
      <c r="D448" s="62" t="s">
        <v>1759</v>
      </c>
      <c r="E448" s="60" t="s">
        <v>328</v>
      </c>
      <c r="F448" s="60" t="s">
        <v>170</v>
      </c>
      <c r="G448" s="60" t="s">
        <v>147</v>
      </c>
      <c r="H448" s="60" t="s">
        <v>707</v>
      </c>
      <c r="I448" s="60" t="s">
        <v>90</v>
      </c>
      <c r="J448" s="60" t="s">
        <v>2</v>
      </c>
      <c r="K448" s="60" t="s">
        <v>2</v>
      </c>
      <c r="L448" s="60" t="s">
        <v>87</v>
      </c>
      <c r="M448" s="60">
        <v>100</v>
      </c>
      <c r="N448" s="60" t="s">
        <v>87</v>
      </c>
      <c r="O448" s="60">
        <v>1</v>
      </c>
      <c r="P448" s="60" t="s">
        <v>729</v>
      </c>
      <c r="Q448" s="60" t="s">
        <v>92</v>
      </c>
      <c r="R448" s="60" t="s">
        <v>21</v>
      </c>
      <c r="S448" s="60" t="s">
        <v>38</v>
      </c>
      <c r="T448" s="60" t="s">
        <v>92</v>
      </c>
      <c r="U448" s="60" t="s">
        <v>101</v>
      </c>
      <c r="V448" s="60" t="s">
        <v>92</v>
      </c>
      <c r="W448" s="60" t="s">
        <v>93</v>
      </c>
      <c r="X448" s="63" t="s">
        <v>95</v>
      </c>
    </row>
    <row r="449" spans="1:24">
      <c r="A449" s="60">
        <v>655</v>
      </c>
      <c r="B449" s="61" t="s">
        <v>1013</v>
      </c>
      <c r="C449" s="62" t="s">
        <v>1014</v>
      </c>
      <c r="D449" s="62" t="s">
        <v>1015</v>
      </c>
      <c r="E449" s="60" t="s">
        <v>106</v>
      </c>
      <c r="F449" s="60" t="s">
        <v>87</v>
      </c>
      <c r="G449" s="60" t="s">
        <v>164</v>
      </c>
      <c r="H449" s="60" t="s">
        <v>707</v>
      </c>
      <c r="I449" s="60" t="s">
        <v>90</v>
      </c>
      <c r="J449" s="60" t="s">
        <v>3</v>
      </c>
      <c r="K449" s="60" t="s">
        <v>2</v>
      </c>
      <c r="L449" s="60" t="s">
        <v>87</v>
      </c>
      <c r="M449" s="60">
        <v>63</v>
      </c>
      <c r="N449" s="60" t="s">
        <v>87</v>
      </c>
      <c r="O449" s="60">
        <v>14</v>
      </c>
      <c r="P449" s="60" t="s">
        <v>794</v>
      </c>
      <c r="Q449" s="60" t="s">
        <v>92</v>
      </c>
      <c r="R449" s="60" t="s">
        <v>21</v>
      </c>
      <c r="S449" s="60" t="s">
        <v>37</v>
      </c>
      <c r="T449" s="60" t="s">
        <v>94</v>
      </c>
      <c r="U449" s="60" t="s">
        <v>101</v>
      </c>
      <c r="V449" s="60" t="s">
        <v>92</v>
      </c>
      <c r="W449" s="60" t="s">
        <v>93</v>
      </c>
      <c r="X449" s="63" t="s">
        <v>95</v>
      </c>
    </row>
    <row r="450" spans="1:24">
      <c r="A450" s="60">
        <v>1314</v>
      </c>
      <c r="B450" s="61" t="s">
        <v>507</v>
      </c>
      <c r="C450" s="62" t="s">
        <v>508</v>
      </c>
      <c r="D450" s="62" t="s">
        <v>148</v>
      </c>
      <c r="E450" s="60" t="s">
        <v>209</v>
      </c>
      <c r="F450" s="60" t="s">
        <v>87</v>
      </c>
      <c r="G450" s="60" t="s">
        <v>88</v>
      </c>
      <c r="H450" s="60" t="s">
        <v>100</v>
      </c>
      <c r="I450" s="60" t="s">
        <v>101</v>
      </c>
      <c r="J450" s="60" t="s">
        <v>2</v>
      </c>
      <c r="K450" s="60" t="s">
        <v>2</v>
      </c>
      <c r="L450" s="60">
        <v>33</v>
      </c>
      <c r="M450" s="60" t="s">
        <v>87</v>
      </c>
      <c r="N450" s="60">
        <v>10</v>
      </c>
      <c r="O450" s="60" t="s">
        <v>87</v>
      </c>
      <c r="P450" s="60">
        <v>10</v>
      </c>
      <c r="Q450" s="60" t="s">
        <v>92</v>
      </c>
      <c r="R450" s="60" t="s">
        <v>20</v>
      </c>
      <c r="S450" s="60" t="s">
        <v>92</v>
      </c>
      <c r="T450" s="60" t="s">
        <v>94</v>
      </c>
      <c r="U450" s="60" t="s">
        <v>93</v>
      </c>
      <c r="V450" s="60" t="s">
        <v>94</v>
      </c>
      <c r="W450" s="60" t="s">
        <v>101</v>
      </c>
      <c r="X450" s="63" t="s">
        <v>102</v>
      </c>
    </row>
    <row r="451" spans="1:24">
      <c r="A451" s="60">
        <v>771</v>
      </c>
      <c r="B451" s="61" t="s">
        <v>509</v>
      </c>
      <c r="C451" s="62" t="s">
        <v>510</v>
      </c>
      <c r="D451" s="62" t="s">
        <v>456</v>
      </c>
      <c r="E451" s="60" t="s">
        <v>194</v>
      </c>
      <c r="F451" s="60" t="s">
        <v>87</v>
      </c>
      <c r="G451" s="60" t="s">
        <v>142</v>
      </c>
      <c r="H451" s="60" t="s">
        <v>100</v>
      </c>
      <c r="I451" s="60" t="s">
        <v>90</v>
      </c>
      <c r="J451" s="60" t="s">
        <v>2</v>
      </c>
      <c r="K451" s="60" t="s">
        <v>2</v>
      </c>
      <c r="L451" s="60">
        <v>129</v>
      </c>
      <c r="M451" s="60" t="s">
        <v>87</v>
      </c>
      <c r="N451" s="60">
        <v>4</v>
      </c>
      <c r="O451" s="60" t="s">
        <v>87</v>
      </c>
      <c r="P451" s="60">
        <v>4</v>
      </c>
      <c r="Q451" s="60" t="s">
        <v>92</v>
      </c>
      <c r="R451" s="60" t="s">
        <v>92</v>
      </c>
      <c r="S451" s="60" t="s">
        <v>92</v>
      </c>
      <c r="T451" s="60" t="s">
        <v>92</v>
      </c>
      <c r="U451" s="60" t="s">
        <v>90</v>
      </c>
      <c r="V451" s="60" t="s">
        <v>92</v>
      </c>
      <c r="W451" s="60" t="s">
        <v>93</v>
      </c>
      <c r="X451" s="63" t="s">
        <v>95</v>
      </c>
    </row>
    <row r="452" spans="1:24">
      <c r="A452" s="60">
        <v>1179</v>
      </c>
      <c r="B452" s="61" t="s">
        <v>1760</v>
      </c>
      <c r="C452" s="62" t="s">
        <v>1761</v>
      </c>
      <c r="D452" s="62" t="s">
        <v>319</v>
      </c>
      <c r="E452" s="60" t="s">
        <v>128</v>
      </c>
      <c r="F452" s="60" t="s">
        <v>87</v>
      </c>
      <c r="G452" s="60" t="s">
        <v>107</v>
      </c>
      <c r="H452" s="60" t="s">
        <v>100</v>
      </c>
      <c r="I452" s="60" t="s">
        <v>101</v>
      </c>
      <c r="J452" s="60" t="s">
        <v>2</v>
      </c>
      <c r="K452" s="60" t="s">
        <v>2</v>
      </c>
      <c r="L452" s="60">
        <v>12</v>
      </c>
      <c r="M452" s="60" t="s">
        <v>87</v>
      </c>
      <c r="N452" s="60">
        <v>5</v>
      </c>
      <c r="O452" s="60" t="s">
        <v>87</v>
      </c>
      <c r="P452" s="60">
        <v>5</v>
      </c>
      <c r="Q452" s="60" t="s">
        <v>92</v>
      </c>
      <c r="R452" s="60" t="s">
        <v>21</v>
      </c>
      <c r="S452" s="60" t="s">
        <v>3</v>
      </c>
      <c r="T452" s="60" t="s">
        <v>94</v>
      </c>
      <c r="U452" s="60" t="s">
        <v>108</v>
      </c>
      <c r="V452" s="60" t="s">
        <v>94</v>
      </c>
      <c r="W452" s="60" t="s">
        <v>93</v>
      </c>
      <c r="X452" s="63" t="s">
        <v>102</v>
      </c>
    </row>
    <row r="453" spans="1:24">
      <c r="A453" s="60">
        <v>537</v>
      </c>
      <c r="B453" s="61" t="s">
        <v>1388</v>
      </c>
      <c r="C453" s="62" t="s">
        <v>1389</v>
      </c>
      <c r="D453" s="62" t="s">
        <v>364</v>
      </c>
      <c r="E453" s="60" t="s">
        <v>141</v>
      </c>
      <c r="F453" s="60" t="s">
        <v>87</v>
      </c>
      <c r="G453" s="60" t="s">
        <v>155</v>
      </c>
      <c r="H453" s="60" t="s">
        <v>707</v>
      </c>
      <c r="I453" s="60" t="s">
        <v>90</v>
      </c>
      <c r="J453" s="60" t="s">
        <v>2</v>
      </c>
      <c r="K453" s="60" t="s">
        <v>2</v>
      </c>
      <c r="L453" s="60" t="s">
        <v>87</v>
      </c>
      <c r="M453" s="60">
        <v>49</v>
      </c>
      <c r="N453" s="60" t="s">
        <v>87</v>
      </c>
      <c r="O453" s="60">
        <v>6</v>
      </c>
      <c r="P453" s="60" t="s">
        <v>740</v>
      </c>
      <c r="Q453" s="60" t="s">
        <v>92</v>
      </c>
      <c r="R453" s="60" t="s">
        <v>20</v>
      </c>
      <c r="S453" s="60" t="s">
        <v>92</v>
      </c>
      <c r="T453" s="60" t="s">
        <v>94</v>
      </c>
      <c r="U453" s="60" t="s">
        <v>108</v>
      </c>
      <c r="V453" s="60" t="s">
        <v>92</v>
      </c>
      <c r="W453" s="60" t="s">
        <v>90</v>
      </c>
      <c r="X453" s="63" t="s">
        <v>95</v>
      </c>
    </row>
    <row r="454" spans="1:24">
      <c r="A454" s="60">
        <v>1147</v>
      </c>
      <c r="B454" s="61" t="s">
        <v>1762</v>
      </c>
      <c r="C454" s="62" t="s">
        <v>1763</v>
      </c>
      <c r="D454" s="62" t="s">
        <v>1764</v>
      </c>
      <c r="E454" s="60" t="s">
        <v>149</v>
      </c>
      <c r="F454" s="60" t="s">
        <v>87</v>
      </c>
      <c r="G454" s="60" t="s">
        <v>129</v>
      </c>
      <c r="H454" s="60" t="s">
        <v>707</v>
      </c>
      <c r="I454" s="60" t="s">
        <v>90</v>
      </c>
      <c r="J454" s="60" t="s">
        <v>2</v>
      </c>
      <c r="K454" s="60" t="s">
        <v>2</v>
      </c>
      <c r="L454" s="60" t="s">
        <v>87</v>
      </c>
      <c r="M454" s="60">
        <v>11</v>
      </c>
      <c r="N454" s="60" t="s">
        <v>87</v>
      </c>
      <c r="O454" s="60">
        <v>6</v>
      </c>
      <c r="P454" s="60" t="s">
        <v>740</v>
      </c>
      <c r="Q454" s="60" t="s">
        <v>92</v>
      </c>
      <c r="R454" s="60" t="s">
        <v>20</v>
      </c>
      <c r="S454" s="60" t="s">
        <v>92</v>
      </c>
      <c r="T454" s="60" t="s">
        <v>92</v>
      </c>
      <c r="U454" s="60" t="s">
        <v>93</v>
      </c>
      <c r="V454" s="60" t="s">
        <v>94</v>
      </c>
      <c r="W454" s="60" t="s">
        <v>90</v>
      </c>
      <c r="X454" s="63" t="s">
        <v>95</v>
      </c>
    </row>
    <row r="455" spans="1:24">
      <c r="A455" s="60">
        <v>327</v>
      </c>
      <c r="B455" s="61" t="s">
        <v>1016</v>
      </c>
      <c r="C455" s="62" t="s">
        <v>1017</v>
      </c>
      <c r="D455" s="62" t="s">
        <v>1018</v>
      </c>
      <c r="E455" s="60" t="s">
        <v>127</v>
      </c>
      <c r="F455" s="60" t="s">
        <v>87</v>
      </c>
      <c r="G455" s="60" t="s">
        <v>142</v>
      </c>
      <c r="H455" s="60" t="s">
        <v>707</v>
      </c>
      <c r="I455" s="60" t="s">
        <v>90</v>
      </c>
      <c r="J455" s="60" t="s">
        <v>2</v>
      </c>
      <c r="K455" s="60" t="s">
        <v>2</v>
      </c>
      <c r="L455" s="60" t="s">
        <v>87</v>
      </c>
      <c r="M455" s="60">
        <v>48</v>
      </c>
      <c r="N455" s="60" t="s">
        <v>87</v>
      </c>
      <c r="O455" s="60">
        <v>4</v>
      </c>
      <c r="P455" s="60" t="s">
        <v>754</v>
      </c>
      <c r="Q455" s="60" t="s">
        <v>92</v>
      </c>
      <c r="R455" s="60" t="s">
        <v>20</v>
      </c>
      <c r="S455" s="60" t="s">
        <v>38</v>
      </c>
      <c r="T455" s="60" t="s">
        <v>92</v>
      </c>
      <c r="U455" s="60" t="s">
        <v>90</v>
      </c>
      <c r="V455" s="60" t="s">
        <v>92</v>
      </c>
      <c r="W455" s="60" t="s">
        <v>93</v>
      </c>
      <c r="X455" s="63" t="s">
        <v>95</v>
      </c>
    </row>
    <row r="456" spans="1:24">
      <c r="A456" s="60">
        <v>946</v>
      </c>
      <c r="B456" s="61" t="s">
        <v>1765</v>
      </c>
      <c r="C456" s="62" t="s">
        <v>1766</v>
      </c>
      <c r="D456" s="62" t="s">
        <v>1767</v>
      </c>
      <c r="E456" s="60" t="s">
        <v>146</v>
      </c>
      <c r="F456" s="60" t="s">
        <v>170</v>
      </c>
      <c r="G456" s="60" t="s">
        <v>88</v>
      </c>
      <c r="H456" s="60" t="s">
        <v>100</v>
      </c>
      <c r="I456" s="60" t="s">
        <v>90</v>
      </c>
      <c r="J456" s="60" t="s">
        <v>3</v>
      </c>
      <c r="K456" s="60" t="s">
        <v>2</v>
      </c>
      <c r="L456" s="60">
        <v>200</v>
      </c>
      <c r="M456" s="60">
        <v>100</v>
      </c>
      <c r="N456" s="60">
        <v>1</v>
      </c>
      <c r="O456" s="60">
        <v>1</v>
      </c>
      <c r="P456" s="60" t="s">
        <v>255</v>
      </c>
      <c r="Q456" s="60" t="s">
        <v>92</v>
      </c>
      <c r="R456" s="60" t="s">
        <v>92</v>
      </c>
      <c r="S456" s="60" t="s">
        <v>38</v>
      </c>
      <c r="T456" s="60" t="s">
        <v>92</v>
      </c>
      <c r="U456" s="60" t="s">
        <v>101</v>
      </c>
      <c r="V456" s="60" t="s">
        <v>92</v>
      </c>
      <c r="W456" s="60" t="s">
        <v>93</v>
      </c>
      <c r="X456" s="63" t="s">
        <v>95</v>
      </c>
    </row>
    <row r="457" spans="1:24">
      <c r="A457" s="60">
        <v>1274</v>
      </c>
      <c r="B457" s="61" t="s">
        <v>1768</v>
      </c>
      <c r="C457" s="62" t="s">
        <v>1769</v>
      </c>
      <c r="D457" s="62" t="s">
        <v>1770</v>
      </c>
      <c r="E457" s="60" t="s">
        <v>226</v>
      </c>
      <c r="F457" s="60" t="s">
        <v>170</v>
      </c>
      <c r="G457" s="60" t="s">
        <v>117</v>
      </c>
      <c r="H457" s="60" t="s">
        <v>707</v>
      </c>
      <c r="I457" s="60" t="s">
        <v>90</v>
      </c>
      <c r="J457" s="60" t="s">
        <v>2</v>
      </c>
      <c r="K457" s="60" t="s">
        <v>2</v>
      </c>
      <c r="L457" s="60" t="s">
        <v>87</v>
      </c>
      <c r="M457" s="60">
        <v>100</v>
      </c>
      <c r="N457" s="60" t="s">
        <v>87</v>
      </c>
      <c r="O457" s="60">
        <v>2</v>
      </c>
      <c r="P457" s="60" t="s">
        <v>807</v>
      </c>
      <c r="Q457" s="60" t="s">
        <v>19</v>
      </c>
      <c r="R457" s="60" t="s">
        <v>20</v>
      </c>
      <c r="S457" s="60" t="s">
        <v>38</v>
      </c>
      <c r="T457" s="60" t="s">
        <v>94</v>
      </c>
      <c r="U457" s="60" t="s">
        <v>108</v>
      </c>
      <c r="V457" s="60" t="s">
        <v>94</v>
      </c>
      <c r="W457" s="60" t="s">
        <v>93</v>
      </c>
      <c r="X457" s="63" t="s">
        <v>95</v>
      </c>
    </row>
    <row r="458" spans="1:24">
      <c r="A458" s="60">
        <v>1228</v>
      </c>
      <c r="B458" s="61" t="s">
        <v>1771</v>
      </c>
      <c r="C458" s="62" t="s">
        <v>1772</v>
      </c>
      <c r="D458" s="62" t="s">
        <v>122</v>
      </c>
      <c r="E458" s="60" t="s">
        <v>106</v>
      </c>
      <c r="F458" s="60" t="s">
        <v>87</v>
      </c>
      <c r="G458" s="60" t="s">
        <v>155</v>
      </c>
      <c r="H458" s="60" t="s">
        <v>89</v>
      </c>
      <c r="I458" s="60" t="s">
        <v>90</v>
      </c>
      <c r="J458" s="60" t="s">
        <v>3</v>
      </c>
      <c r="K458" s="60" t="s">
        <v>3</v>
      </c>
      <c r="L458" s="60">
        <v>9</v>
      </c>
      <c r="M458" s="60">
        <v>22</v>
      </c>
      <c r="N458" s="60">
        <v>3</v>
      </c>
      <c r="O458" s="60" t="s">
        <v>118</v>
      </c>
      <c r="P458" s="60" t="s">
        <v>119</v>
      </c>
      <c r="Q458" s="60" t="s">
        <v>19</v>
      </c>
      <c r="R458" s="60" t="s">
        <v>92</v>
      </c>
      <c r="S458" s="60" t="s">
        <v>38</v>
      </c>
      <c r="T458" s="60" t="s">
        <v>94</v>
      </c>
      <c r="U458" s="60" t="s">
        <v>93</v>
      </c>
      <c r="V458" s="60" t="s">
        <v>94</v>
      </c>
      <c r="W458" s="60" t="s">
        <v>90</v>
      </c>
      <c r="X458" s="63" t="s">
        <v>95</v>
      </c>
    </row>
    <row r="459" spans="1:24">
      <c r="A459" s="60">
        <v>954</v>
      </c>
      <c r="B459" s="61" t="s">
        <v>1019</v>
      </c>
      <c r="C459" s="62" t="s">
        <v>1020</v>
      </c>
      <c r="D459" s="62" t="s">
        <v>168</v>
      </c>
      <c r="E459" s="60" t="s">
        <v>111</v>
      </c>
      <c r="F459" s="60" t="s">
        <v>170</v>
      </c>
      <c r="G459" s="60" t="s">
        <v>1503</v>
      </c>
      <c r="H459" s="60" t="s">
        <v>707</v>
      </c>
      <c r="I459" s="60" t="s">
        <v>101</v>
      </c>
      <c r="J459" s="60" t="s">
        <v>2</v>
      </c>
      <c r="K459" s="60" t="s">
        <v>2</v>
      </c>
      <c r="L459" s="60" t="s">
        <v>87</v>
      </c>
      <c r="M459" s="60">
        <v>100</v>
      </c>
      <c r="N459" s="60" t="s">
        <v>87</v>
      </c>
      <c r="O459" s="60">
        <v>1</v>
      </c>
      <c r="P459" s="60" t="s">
        <v>729</v>
      </c>
      <c r="Q459" s="60" t="s">
        <v>19</v>
      </c>
      <c r="R459" s="60" t="s">
        <v>92</v>
      </c>
      <c r="S459" s="60" t="s">
        <v>92</v>
      </c>
      <c r="T459" s="60" t="s">
        <v>92</v>
      </c>
      <c r="U459" s="60" t="s">
        <v>108</v>
      </c>
      <c r="V459" s="60" t="s">
        <v>92</v>
      </c>
      <c r="W459" s="60" t="s">
        <v>93</v>
      </c>
      <c r="X459" s="63" t="s">
        <v>102</v>
      </c>
    </row>
    <row r="460" spans="1:24">
      <c r="A460" s="60">
        <v>676</v>
      </c>
      <c r="B460" s="61" t="s">
        <v>511</v>
      </c>
      <c r="C460" s="62" t="s">
        <v>512</v>
      </c>
      <c r="D460" s="62" t="s">
        <v>513</v>
      </c>
      <c r="E460" s="60" t="s">
        <v>42</v>
      </c>
      <c r="F460" s="60" t="s">
        <v>87</v>
      </c>
      <c r="G460" s="60" t="s">
        <v>150</v>
      </c>
      <c r="H460" s="60" t="s">
        <v>100</v>
      </c>
      <c r="I460" s="60" t="s">
        <v>101</v>
      </c>
      <c r="J460" s="60" t="s">
        <v>2</v>
      </c>
      <c r="K460" s="60" t="s">
        <v>2</v>
      </c>
      <c r="L460" s="60">
        <v>178</v>
      </c>
      <c r="M460" s="60" t="s">
        <v>87</v>
      </c>
      <c r="N460" s="60">
        <v>6</v>
      </c>
      <c r="O460" s="60" t="s">
        <v>87</v>
      </c>
      <c r="P460" s="60">
        <v>6</v>
      </c>
      <c r="Q460" s="60" t="s">
        <v>22</v>
      </c>
      <c r="R460" s="60" t="s">
        <v>92</v>
      </c>
      <c r="S460" s="60" t="s">
        <v>92</v>
      </c>
      <c r="T460" s="60" t="s">
        <v>92</v>
      </c>
      <c r="U460" s="60" t="s">
        <v>108</v>
      </c>
      <c r="V460" s="60" t="s">
        <v>92</v>
      </c>
      <c r="W460" s="60" t="s">
        <v>93</v>
      </c>
      <c r="X460" s="63" t="s">
        <v>102</v>
      </c>
    </row>
    <row r="461" spans="1:24">
      <c r="A461" s="60">
        <v>747</v>
      </c>
      <c r="B461" s="61" t="s">
        <v>1390</v>
      </c>
      <c r="C461" s="62" t="s">
        <v>1391</v>
      </c>
      <c r="D461" s="62" t="s">
        <v>522</v>
      </c>
      <c r="E461" s="60" t="s">
        <v>226</v>
      </c>
      <c r="F461" s="60" t="s">
        <v>87</v>
      </c>
      <c r="G461" s="60" t="s">
        <v>150</v>
      </c>
      <c r="H461" s="60" t="s">
        <v>707</v>
      </c>
      <c r="I461" s="60" t="s">
        <v>90</v>
      </c>
      <c r="J461" s="60" t="s">
        <v>2</v>
      </c>
      <c r="K461" s="60" t="s">
        <v>2</v>
      </c>
      <c r="L461" s="60" t="s">
        <v>87</v>
      </c>
      <c r="M461" s="60">
        <v>41</v>
      </c>
      <c r="N461" s="60" t="s">
        <v>87</v>
      </c>
      <c r="O461" s="60">
        <v>8</v>
      </c>
      <c r="P461" s="60" t="s">
        <v>714</v>
      </c>
      <c r="Q461" s="60" t="s">
        <v>19</v>
      </c>
      <c r="R461" s="60" t="s">
        <v>92</v>
      </c>
      <c r="S461" s="60" t="s">
        <v>38</v>
      </c>
      <c r="T461" s="60" t="s">
        <v>94</v>
      </c>
      <c r="U461" s="60" t="s">
        <v>108</v>
      </c>
      <c r="V461" s="60" t="s">
        <v>92</v>
      </c>
      <c r="W461" s="60" t="s">
        <v>90</v>
      </c>
      <c r="X461" s="63" t="s">
        <v>95</v>
      </c>
    </row>
    <row r="462" spans="1:24">
      <c r="A462" s="60">
        <v>149</v>
      </c>
      <c r="B462" s="61" t="s">
        <v>1773</v>
      </c>
      <c r="C462" s="62" t="s">
        <v>1774</v>
      </c>
      <c r="D462" s="62" t="s">
        <v>1529</v>
      </c>
      <c r="E462" s="60" t="s">
        <v>111</v>
      </c>
      <c r="F462" s="60" t="s">
        <v>87</v>
      </c>
      <c r="G462" s="60" t="s">
        <v>112</v>
      </c>
      <c r="H462" s="60" t="s">
        <v>707</v>
      </c>
      <c r="I462" s="60" t="s">
        <v>101</v>
      </c>
      <c r="J462" s="60" t="s">
        <v>2</v>
      </c>
      <c r="K462" s="60" t="s">
        <v>2</v>
      </c>
      <c r="L462" s="60" t="s">
        <v>87</v>
      </c>
      <c r="M462" s="60">
        <v>22</v>
      </c>
      <c r="N462" s="60" t="s">
        <v>87</v>
      </c>
      <c r="O462" s="60">
        <v>4</v>
      </c>
      <c r="P462" s="60" t="s">
        <v>754</v>
      </c>
      <c r="Q462" s="60" t="s">
        <v>92</v>
      </c>
      <c r="R462" s="60" t="s">
        <v>92</v>
      </c>
      <c r="S462" s="60" t="s">
        <v>92</v>
      </c>
      <c r="T462" s="60" t="s">
        <v>94</v>
      </c>
      <c r="U462" s="60" t="s">
        <v>108</v>
      </c>
      <c r="V462" s="60" t="s">
        <v>92</v>
      </c>
      <c r="W462" s="60" t="s">
        <v>90</v>
      </c>
      <c r="X462" s="63" t="s">
        <v>102</v>
      </c>
    </row>
    <row r="463" spans="1:24">
      <c r="A463" s="60">
        <v>175</v>
      </c>
      <c r="B463" s="61" t="s">
        <v>1021</v>
      </c>
      <c r="C463" s="62" t="s">
        <v>1022</v>
      </c>
      <c r="D463" s="62" t="s">
        <v>1023</v>
      </c>
      <c r="E463" s="60" t="s">
        <v>157</v>
      </c>
      <c r="F463" s="60" t="s">
        <v>87</v>
      </c>
      <c r="G463" s="60" t="s">
        <v>158</v>
      </c>
      <c r="H463" s="60" t="s">
        <v>707</v>
      </c>
      <c r="I463" s="60" t="s">
        <v>90</v>
      </c>
      <c r="J463" s="60" t="s">
        <v>71</v>
      </c>
      <c r="K463" s="60" t="s">
        <v>2</v>
      </c>
      <c r="L463" s="60" t="s">
        <v>87</v>
      </c>
      <c r="M463" s="60">
        <v>55</v>
      </c>
      <c r="N463" s="60" t="s">
        <v>87</v>
      </c>
      <c r="O463" s="60">
        <v>9</v>
      </c>
      <c r="P463" s="60" t="s">
        <v>744</v>
      </c>
      <c r="Q463" s="60" t="s">
        <v>19</v>
      </c>
      <c r="R463" s="60" t="s">
        <v>20</v>
      </c>
      <c r="S463" s="60" t="s">
        <v>3</v>
      </c>
      <c r="T463" s="60" t="s">
        <v>94</v>
      </c>
      <c r="U463" s="60" t="s">
        <v>90</v>
      </c>
      <c r="V463" s="60" t="s">
        <v>92</v>
      </c>
      <c r="W463" s="60" t="s">
        <v>90</v>
      </c>
      <c r="X463" s="63" t="s">
        <v>95</v>
      </c>
    </row>
    <row r="464" spans="1:24">
      <c r="A464" s="60">
        <v>627</v>
      </c>
      <c r="B464" s="61" t="s">
        <v>514</v>
      </c>
      <c r="C464" s="62" t="s">
        <v>515</v>
      </c>
      <c r="D464" s="62" t="s">
        <v>516</v>
      </c>
      <c r="E464" s="60" t="s">
        <v>154</v>
      </c>
      <c r="F464" s="60" t="s">
        <v>87</v>
      </c>
      <c r="G464" s="60" t="s">
        <v>164</v>
      </c>
      <c r="H464" s="60" t="s">
        <v>89</v>
      </c>
      <c r="I464" s="60" t="s">
        <v>90</v>
      </c>
      <c r="J464" s="60" t="s">
        <v>2</v>
      </c>
      <c r="K464" s="60" t="s">
        <v>2</v>
      </c>
      <c r="L464" s="60">
        <v>5</v>
      </c>
      <c r="M464" s="60">
        <v>57</v>
      </c>
      <c r="N464" s="60">
        <v>4</v>
      </c>
      <c r="O464" s="60" t="s">
        <v>219</v>
      </c>
      <c r="P464" s="60" t="s">
        <v>1594</v>
      </c>
      <c r="Q464" s="60" t="s">
        <v>19</v>
      </c>
      <c r="R464" s="60" t="s">
        <v>21</v>
      </c>
      <c r="S464" s="60" t="s">
        <v>23</v>
      </c>
      <c r="T464" s="60" t="s">
        <v>94</v>
      </c>
      <c r="U464" s="60" t="s">
        <v>108</v>
      </c>
      <c r="V464" s="60" t="s">
        <v>92</v>
      </c>
      <c r="W464" s="60" t="s">
        <v>93</v>
      </c>
      <c r="X464" s="63" t="s">
        <v>95</v>
      </c>
    </row>
    <row r="465" spans="1:24">
      <c r="A465" s="60">
        <v>650</v>
      </c>
      <c r="B465" s="61" t="s">
        <v>1775</v>
      </c>
      <c r="C465" s="62" t="s">
        <v>1776</v>
      </c>
      <c r="D465" s="62" t="s">
        <v>353</v>
      </c>
      <c r="E465" s="60" t="s">
        <v>106</v>
      </c>
      <c r="F465" s="60" t="s">
        <v>87</v>
      </c>
      <c r="G465" s="60" t="s">
        <v>107</v>
      </c>
      <c r="H465" s="60" t="s">
        <v>100</v>
      </c>
      <c r="I465" s="60" t="s">
        <v>90</v>
      </c>
      <c r="J465" s="60" t="s">
        <v>3</v>
      </c>
      <c r="K465" s="60" t="s">
        <v>3</v>
      </c>
      <c r="L465" s="60">
        <v>74</v>
      </c>
      <c r="M465" s="60" t="s">
        <v>87</v>
      </c>
      <c r="N465" s="60">
        <v>6</v>
      </c>
      <c r="O465" s="60" t="s">
        <v>87</v>
      </c>
      <c r="P465" s="60">
        <v>6</v>
      </c>
      <c r="Q465" s="60" t="s">
        <v>92</v>
      </c>
      <c r="R465" s="60" t="s">
        <v>92</v>
      </c>
      <c r="S465" s="60" t="s">
        <v>92</v>
      </c>
      <c r="T465" s="60" t="s">
        <v>94</v>
      </c>
      <c r="U465" s="60" t="s">
        <v>101</v>
      </c>
      <c r="V465" s="60" t="s">
        <v>92</v>
      </c>
      <c r="W465" s="60" t="s">
        <v>90</v>
      </c>
      <c r="X465" s="63" t="s">
        <v>95</v>
      </c>
    </row>
    <row r="466" spans="1:24">
      <c r="A466" s="60">
        <v>708</v>
      </c>
      <c r="B466" s="61" t="s">
        <v>517</v>
      </c>
      <c r="C466" s="62" t="s">
        <v>518</v>
      </c>
      <c r="D466" s="62" t="s">
        <v>519</v>
      </c>
      <c r="E466" s="60" t="s">
        <v>328</v>
      </c>
      <c r="F466" s="60" t="s">
        <v>87</v>
      </c>
      <c r="G466" s="60" t="s">
        <v>164</v>
      </c>
      <c r="H466" s="60" t="s">
        <v>100</v>
      </c>
      <c r="I466" s="60" t="s">
        <v>101</v>
      </c>
      <c r="J466" s="60" t="s">
        <v>3</v>
      </c>
      <c r="K466" s="60" t="s">
        <v>3</v>
      </c>
      <c r="L466" s="60">
        <v>173</v>
      </c>
      <c r="M466" s="60">
        <v>4</v>
      </c>
      <c r="N466" s="60">
        <v>6</v>
      </c>
      <c r="O466" s="60" t="s">
        <v>91</v>
      </c>
      <c r="P466" s="60" t="s">
        <v>159</v>
      </c>
      <c r="Q466" s="60" t="s">
        <v>92</v>
      </c>
      <c r="R466" s="60" t="s">
        <v>92</v>
      </c>
      <c r="S466" s="60" t="s">
        <v>92</v>
      </c>
      <c r="T466" s="60" t="s">
        <v>94</v>
      </c>
      <c r="U466" s="60" t="s">
        <v>90</v>
      </c>
      <c r="V466" s="60" t="s">
        <v>92</v>
      </c>
      <c r="W466" s="60" t="s">
        <v>90</v>
      </c>
      <c r="X466" s="63" t="s">
        <v>102</v>
      </c>
    </row>
    <row r="467" spans="1:24">
      <c r="A467" s="60">
        <v>81</v>
      </c>
      <c r="B467" s="61" t="s">
        <v>520</v>
      </c>
      <c r="C467" s="62" t="s">
        <v>521</v>
      </c>
      <c r="D467" s="62" t="s">
        <v>522</v>
      </c>
      <c r="E467" s="60" t="s">
        <v>133</v>
      </c>
      <c r="F467" s="60" t="s">
        <v>170</v>
      </c>
      <c r="G467" s="60" t="s">
        <v>164</v>
      </c>
      <c r="H467" s="60" t="s">
        <v>100</v>
      </c>
      <c r="I467" s="60" t="s">
        <v>90</v>
      </c>
      <c r="J467" s="60" t="s">
        <v>2</v>
      </c>
      <c r="K467" s="60" t="s">
        <v>2</v>
      </c>
      <c r="L467" s="60">
        <v>200</v>
      </c>
      <c r="M467" s="60">
        <v>100</v>
      </c>
      <c r="N467" s="60">
        <v>2</v>
      </c>
      <c r="O467" s="60">
        <v>1</v>
      </c>
      <c r="P467" s="60" t="s">
        <v>172</v>
      </c>
      <c r="Q467" s="60" t="s">
        <v>92</v>
      </c>
      <c r="R467" s="60" t="s">
        <v>21</v>
      </c>
      <c r="S467" s="60" t="s">
        <v>38</v>
      </c>
      <c r="T467" s="60" t="s">
        <v>92</v>
      </c>
      <c r="U467" s="60" t="s">
        <v>108</v>
      </c>
      <c r="V467" s="60" t="s">
        <v>92</v>
      </c>
      <c r="W467" s="60" t="s">
        <v>93</v>
      </c>
      <c r="X467" s="63" t="s">
        <v>95</v>
      </c>
    </row>
    <row r="468" spans="1:24">
      <c r="A468" s="60">
        <v>739</v>
      </c>
      <c r="B468" s="61" t="s">
        <v>1777</v>
      </c>
      <c r="C468" s="62" t="s">
        <v>1778</v>
      </c>
      <c r="D468" s="62" t="s">
        <v>375</v>
      </c>
      <c r="E468" s="60" t="s">
        <v>226</v>
      </c>
      <c r="F468" s="60" t="s">
        <v>87</v>
      </c>
      <c r="G468" s="60" t="s">
        <v>147</v>
      </c>
      <c r="H468" s="60" t="s">
        <v>100</v>
      </c>
      <c r="I468" s="60" t="s">
        <v>101</v>
      </c>
      <c r="J468" s="60" t="s">
        <v>2</v>
      </c>
      <c r="K468" s="60" t="s">
        <v>2</v>
      </c>
      <c r="L468" s="60">
        <v>78</v>
      </c>
      <c r="M468" s="60" t="s">
        <v>87</v>
      </c>
      <c r="N468" s="60">
        <v>9</v>
      </c>
      <c r="O468" s="60" t="s">
        <v>87</v>
      </c>
      <c r="P468" s="60">
        <v>9</v>
      </c>
      <c r="Q468" s="60" t="s">
        <v>22</v>
      </c>
      <c r="R468" s="60" t="s">
        <v>20</v>
      </c>
      <c r="S468" s="60" t="s">
        <v>3</v>
      </c>
      <c r="T468" s="60" t="s">
        <v>94</v>
      </c>
      <c r="U468" s="60" t="s">
        <v>93</v>
      </c>
      <c r="V468" s="60" t="s">
        <v>92</v>
      </c>
      <c r="W468" s="60" t="s">
        <v>90</v>
      </c>
      <c r="X468" s="63" t="s">
        <v>102</v>
      </c>
    </row>
    <row r="469" spans="1:24">
      <c r="A469" s="60">
        <v>1014</v>
      </c>
      <c r="B469" s="61" t="s">
        <v>523</v>
      </c>
      <c r="C469" s="62" t="s">
        <v>524</v>
      </c>
      <c r="D469" s="62" t="s">
        <v>525</v>
      </c>
      <c r="E469" s="60" t="s">
        <v>98</v>
      </c>
      <c r="F469" s="60" t="s">
        <v>87</v>
      </c>
      <c r="G469" s="60" t="s">
        <v>171</v>
      </c>
      <c r="H469" s="60" t="s">
        <v>100</v>
      </c>
      <c r="I469" s="60" t="s">
        <v>101</v>
      </c>
      <c r="J469" s="60" t="s">
        <v>2</v>
      </c>
      <c r="K469" s="60" t="s">
        <v>2</v>
      </c>
      <c r="L469" s="60">
        <v>36</v>
      </c>
      <c r="M469" s="60">
        <v>2</v>
      </c>
      <c r="N469" s="60">
        <v>4</v>
      </c>
      <c r="O469" s="60" t="s">
        <v>118</v>
      </c>
      <c r="P469" s="60" t="s">
        <v>174</v>
      </c>
      <c r="Q469" s="60" t="s">
        <v>22</v>
      </c>
      <c r="R469" s="60" t="s">
        <v>92</v>
      </c>
      <c r="S469" s="60" t="s">
        <v>37</v>
      </c>
      <c r="T469" s="60" t="s">
        <v>92</v>
      </c>
      <c r="U469" s="60" t="s">
        <v>101</v>
      </c>
      <c r="V469" s="60" t="s">
        <v>92</v>
      </c>
      <c r="W469" s="60" t="s">
        <v>101</v>
      </c>
      <c r="X469" s="63" t="s">
        <v>102</v>
      </c>
    </row>
    <row r="470" spans="1:24">
      <c r="A470" s="60">
        <v>1050</v>
      </c>
      <c r="B470" s="61" t="s">
        <v>526</v>
      </c>
      <c r="C470" s="62" t="s">
        <v>527</v>
      </c>
      <c r="D470" s="62" t="s">
        <v>528</v>
      </c>
      <c r="E470" s="60" t="s">
        <v>50</v>
      </c>
      <c r="F470" s="60" t="s">
        <v>87</v>
      </c>
      <c r="G470" s="60" t="s">
        <v>117</v>
      </c>
      <c r="H470" s="60" t="s">
        <v>100</v>
      </c>
      <c r="I470" s="60" t="s">
        <v>90</v>
      </c>
      <c r="J470" s="60" t="s">
        <v>3</v>
      </c>
      <c r="K470" s="60" t="s">
        <v>3</v>
      </c>
      <c r="L470" s="60">
        <v>29</v>
      </c>
      <c r="M470" s="60" t="s">
        <v>87</v>
      </c>
      <c r="N470" s="60">
        <v>5</v>
      </c>
      <c r="O470" s="60" t="s">
        <v>87</v>
      </c>
      <c r="P470" s="60">
        <v>5</v>
      </c>
      <c r="Q470" s="60" t="s">
        <v>92</v>
      </c>
      <c r="R470" s="60" t="s">
        <v>21</v>
      </c>
      <c r="S470" s="60" t="s">
        <v>92</v>
      </c>
      <c r="T470" s="60" t="s">
        <v>92</v>
      </c>
      <c r="U470" s="60" t="s">
        <v>108</v>
      </c>
      <c r="V470" s="60" t="s">
        <v>94</v>
      </c>
      <c r="W470" s="60" t="s">
        <v>93</v>
      </c>
      <c r="X470" s="63" t="s">
        <v>95</v>
      </c>
    </row>
    <row r="471" spans="1:24">
      <c r="A471" s="60">
        <v>840</v>
      </c>
      <c r="B471" s="61" t="s">
        <v>529</v>
      </c>
      <c r="C471" s="62" t="s">
        <v>530</v>
      </c>
      <c r="D471" s="62" t="s">
        <v>531</v>
      </c>
      <c r="E471" s="60" t="s">
        <v>127</v>
      </c>
      <c r="F471" s="60" t="s">
        <v>170</v>
      </c>
      <c r="G471" s="60" t="s">
        <v>88</v>
      </c>
      <c r="H471" s="60" t="s">
        <v>89</v>
      </c>
      <c r="I471" s="60" t="s">
        <v>90</v>
      </c>
      <c r="J471" s="60" t="s">
        <v>2</v>
      </c>
      <c r="K471" s="60" t="s">
        <v>2</v>
      </c>
      <c r="L471" s="60">
        <v>200</v>
      </c>
      <c r="M471" s="60">
        <v>100</v>
      </c>
      <c r="N471" s="60">
        <v>1</v>
      </c>
      <c r="O471" s="60" t="s">
        <v>101</v>
      </c>
      <c r="P471" s="60" t="s">
        <v>1568</v>
      </c>
      <c r="Q471" s="60" t="s">
        <v>22</v>
      </c>
      <c r="R471" s="60" t="s">
        <v>92</v>
      </c>
      <c r="S471" s="60" t="s">
        <v>3</v>
      </c>
      <c r="T471" s="60" t="s">
        <v>94</v>
      </c>
      <c r="U471" s="60" t="s">
        <v>101</v>
      </c>
      <c r="V471" s="60" t="s">
        <v>92</v>
      </c>
      <c r="W471" s="60" t="s">
        <v>90</v>
      </c>
      <c r="X471" s="63" t="s">
        <v>95</v>
      </c>
    </row>
    <row r="472" spans="1:24">
      <c r="A472" s="60">
        <v>139</v>
      </c>
      <c r="B472" s="61" t="s">
        <v>1392</v>
      </c>
      <c r="C472" s="62" t="s">
        <v>530</v>
      </c>
      <c r="D472" s="62" t="s">
        <v>749</v>
      </c>
      <c r="E472" s="60" t="s">
        <v>127</v>
      </c>
      <c r="F472" s="60" t="s">
        <v>87</v>
      </c>
      <c r="G472" s="60" t="s">
        <v>147</v>
      </c>
      <c r="H472" s="60" t="s">
        <v>100</v>
      </c>
      <c r="I472" s="60" t="s">
        <v>101</v>
      </c>
      <c r="J472" s="60" t="s">
        <v>3</v>
      </c>
      <c r="K472" s="60" t="s">
        <v>3</v>
      </c>
      <c r="L472" s="60">
        <v>60</v>
      </c>
      <c r="M472" s="60" t="s">
        <v>87</v>
      </c>
      <c r="N472" s="60">
        <v>8</v>
      </c>
      <c r="O472" s="60" t="s">
        <v>87</v>
      </c>
      <c r="P472" s="60">
        <v>8</v>
      </c>
      <c r="Q472" s="60" t="s">
        <v>92</v>
      </c>
      <c r="R472" s="60" t="s">
        <v>92</v>
      </c>
      <c r="S472" s="60" t="s">
        <v>3</v>
      </c>
      <c r="T472" s="60" t="s">
        <v>94</v>
      </c>
      <c r="U472" s="60" t="s">
        <v>108</v>
      </c>
      <c r="V472" s="60" t="s">
        <v>92</v>
      </c>
      <c r="W472" s="60" t="s">
        <v>93</v>
      </c>
      <c r="X472" s="63" t="s">
        <v>102</v>
      </c>
    </row>
    <row r="473" spans="1:24">
      <c r="A473" s="60">
        <v>291</v>
      </c>
      <c r="B473" s="61" t="s">
        <v>532</v>
      </c>
      <c r="C473" s="62" t="s">
        <v>533</v>
      </c>
      <c r="D473" s="62" t="s">
        <v>534</v>
      </c>
      <c r="E473" s="60" t="s">
        <v>408</v>
      </c>
      <c r="F473" s="60" t="s">
        <v>87</v>
      </c>
      <c r="G473" s="60" t="s">
        <v>164</v>
      </c>
      <c r="H473" s="60" t="s">
        <v>100</v>
      </c>
      <c r="I473" s="60" t="s">
        <v>90</v>
      </c>
      <c r="J473" s="60" t="s">
        <v>2</v>
      </c>
      <c r="K473" s="60" t="s">
        <v>2</v>
      </c>
      <c r="L473" s="60">
        <v>94</v>
      </c>
      <c r="M473" s="60" t="s">
        <v>87</v>
      </c>
      <c r="N473" s="60">
        <v>3</v>
      </c>
      <c r="O473" s="60" t="s">
        <v>87</v>
      </c>
      <c r="P473" s="60">
        <v>3</v>
      </c>
      <c r="Q473" s="60" t="s">
        <v>92</v>
      </c>
      <c r="R473" s="60" t="s">
        <v>92</v>
      </c>
      <c r="S473" s="60" t="s">
        <v>92</v>
      </c>
      <c r="T473" s="60" t="s">
        <v>94</v>
      </c>
      <c r="U473" s="60" t="s">
        <v>108</v>
      </c>
      <c r="V473" s="60" t="s">
        <v>92</v>
      </c>
      <c r="W473" s="60" t="s">
        <v>93</v>
      </c>
      <c r="X473" s="63" t="s">
        <v>95</v>
      </c>
    </row>
    <row r="474" spans="1:24">
      <c r="A474" s="60">
        <v>356</v>
      </c>
      <c r="B474" s="61" t="s">
        <v>535</v>
      </c>
      <c r="C474" s="62" t="s">
        <v>536</v>
      </c>
      <c r="D474" s="62" t="s">
        <v>537</v>
      </c>
      <c r="E474" s="60" t="s">
        <v>127</v>
      </c>
      <c r="F474" s="60" t="s">
        <v>87</v>
      </c>
      <c r="G474" s="60" t="s">
        <v>99</v>
      </c>
      <c r="H474" s="60" t="s">
        <v>89</v>
      </c>
      <c r="I474" s="60" t="s">
        <v>90</v>
      </c>
      <c r="J474" s="60" t="s">
        <v>3</v>
      </c>
      <c r="K474" s="60" t="s">
        <v>3</v>
      </c>
      <c r="L474" s="60">
        <v>52</v>
      </c>
      <c r="M474" s="60">
        <v>38</v>
      </c>
      <c r="N474" s="60">
        <v>6</v>
      </c>
      <c r="O474" s="60" t="s">
        <v>368</v>
      </c>
      <c r="P474" s="60" t="s">
        <v>1779</v>
      </c>
      <c r="Q474" s="60" t="s">
        <v>22</v>
      </c>
      <c r="R474" s="60" t="s">
        <v>20</v>
      </c>
      <c r="S474" s="60" t="s">
        <v>3</v>
      </c>
      <c r="T474" s="60" t="s">
        <v>92</v>
      </c>
      <c r="U474" s="60" t="s">
        <v>108</v>
      </c>
      <c r="V474" s="60" t="s">
        <v>92</v>
      </c>
      <c r="W474" s="60" t="s">
        <v>93</v>
      </c>
      <c r="X474" s="63" t="s">
        <v>95</v>
      </c>
    </row>
    <row r="475" spans="1:24">
      <c r="A475" s="60">
        <v>23</v>
      </c>
      <c r="B475" s="61" t="s">
        <v>1024</v>
      </c>
      <c r="C475" s="62" t="s">
        <v>1025</v>
      </c>
      <c r="D475" s="62" t="s">
        <v>1026</v>
      </c>
      <c r="E475" s="60" t="s">
        <v>178</v>
      </c>
      <c r="F475" s="60" t="s">
        <v>87</v>
      </c>
      <c r="G475" s="60" t="s">
        <v>171</v>
      </c>
      <c r="H475" s="60" t="s">
        <v>707</v>
      </c>
      <c r="I475" s="60" t="s">
        <v>101</v>
      </c>
      <c r="J475" s="60" t="s">
        <v>2</v>
      </c>
      <c r="K475" s="60" t="s">
        <v>2</v>
      </c>
      <c r="L475" s="60" t="s">
        <v>87</v>
      </c>
      <c r="M475" s="60">
        <v>66</v>
      </c>
      <c r="N475" s="60" t="s">
        <v>87</v>
      </c>
      <c r="O475" s="60">
        <v>22</v>
      </c>
      <c r="P475" s="60" t="s">
        <v>737</v>
      </c>
      <c r="Q475" s="60" t="s">
        <v>24</v>
      </c>
      <c r="R475" s="60" t="s">
        <v>20</v>
      </c>
      <c r="S475" s="60" t="s">
        <v>37</v>
      </c>
      <c r="T475" s="60" t="s">
        <v>94</v>
      </c>
      <c r="U475" s="60" t="s">
        <v>93</v>
      </c>
      <c r="V475" s="60" t="s">
        <v>92</v>
      </c>
      <c r="W475" s="60" t="s">
        <v>90</v>
      </c>
      <c r="X475" s="63" t="s">
        <v>102</v>
      </c>
    </row>
    <row r="476" spans="1:24">
      <c r="A476" s="60">
        <v>718</v>
      </c>
      <c r="B476" s="61" t="s">
        <v>1027</v>
      </c>
      <c r="C476" s="62" t="s">
        <v>1028</v>
      </c>
      <c r="D476" s="62" t="s">
        <v>641</v>
      </c>
      <c r="E476" s="60" t="s">
        <v>127</v>
      </c>
      <c r="F476" s="60" t="s">
        <v>170</v>
      </c>
      <c r="G476" s="60" t="s">
        <v>88</v>
      </c>
      <c r="H476" s="60" t="s">
        <v>707</v>
      </c>
      <c r="I476" s="60" t="s">
        <v>90</v>
      </c>
      <c r="J476" s="60" t="s">
        <v>3</v>
      </c>
      <c r="K476" s="60" t="s">
        <v>3</v>
      </c>
      <c r="L476" s="60" t="s">
        <v>87</v>
      </c>
      <c r="M476" s="60">
        <v>100</v>
      </c>
      <c r="N476" s="60" t="s">
        <v>87</v>
      </c>
      <c r="O476" s="60">
        <v>1</v>
      </c>
      <c r="P476" s="60" t="s">
        <v>729</v>
      </c>
      <c r="Q476" s="60" t="s">
        <v>92</v>
      </c>
      <c r="R476" s="60" t="s">
        <v>21</v>
      </c>
      <c r="S476" s="60" t="s">
        <v>37</v>
      </c>
      <c r="T476" s="60" t="s">
        <v>94</v>
      </c>
      <c r="U476" s="60" t="s">
        <v>101</v>
      </c>
      <c r="V476" s="60" t="s">
        <v>92</v>
      </c>
      <c r="W476" s="60" t="s">
        <v>90</v>
      </c>
      <c r="X476" s="63" t="s">
        <v>95</v>
      </c>
    </row>
    <row r="477" spans="1:24">
      <c r="A477" s="60">
        <v>1016</v>
      </c>
      <c r="B477" s="61" t="s">
        <v>1780</v>
      </c>
      <c r="C477" s="62" t="s">
        <v>1781</v>
      </c>
      <c r="D477" s="62" t="s">
        <v>262</v>
      </c>
      <c r="E477" s="60" t="s">
        <v>98</v>
      </c>
      <c r="F477" s="60" t="s">
        <v>87</v>
      </c>
      <c r="G477" s="60" t="s">
        <v>99</v>
      </c>
      <c r="H477" s="60" t="s">
        <v>707</v>
      </c>
      <c r="I477" s="60" t="s">
        <v>101</v>
      </c>
      <c r="J477" s="60" t="s">
        <v>2</v>
      </c>
      <c r="K477" s="60" t="s">
        <v>3</v>
      </c>
      <c r="L477" s="60" t="s">
        <v>87</v>
      </c>
      <c r="M477" s="60">
        <v>22</v>
      </c>
      <c r="N477" s="60" t="s">
        <v>87</v>
      </c>
      <c r="O477" s="60">
        <v>4</v>
      </c>
      <c r="P477" s="60" t="s">
        <v>754</v>
      </c>
      <c r="Q477" s="60" t="s">
        <v>19</v>
      </c>
      <c r="R477" s="60" t="s">
        <v>21</v>
      </c>
      <c r="S477" s="60" t="s">
        <v>92</v>
      </c>
      <c r="T477" s="60" t="s">
        <v>94</v>
      </c>
      <c r="U477" s="60" t="s">
        <v>108</v>
      </c>
      <c r="V477" s="60" t="s">
        <v>94</v>
      </c>
      <c r="W477" s="60" t="s">
        <v>93</v>
      </c>
      <c r="X477" s="63" t="s">
        <v>102</v>
      </c>
    </row>
    <row r="478" spans="1:24">
      <c r="A478" s="60">
        <v>740</v>
      </c>
      <c r="B478" s="61" t="s">
        <v>546</v>
      </c>
      <c r="C478" s="62" t="s">
        <v>547</v>
      </c>
      <c r="D478" s="62" t="s">
        <v>528</v>
      </c>
      <c r="E478" s="60" t="s">
        <v>226</v>
      </c>
      <c r="F478" s="60" t="s">
        <v>170</v>
      </c>
      <c r="G478" s="60" t="s">
        <v>99</v>
      </c>
      <c r="H478" s="60" t="s">
        <v>100</v>
      </c>
      <c r="I478" s="60" t="s">
        <v>101</v>
      </c>
      <c r="J478" s="60" t="s">
        <v>2</v>
      </c>
      <c r="K478" s="60" t="s">
        <v>2</v>
      </c>
      <c r="L478" s="60">
        <v>200</v>
      </c>
      <c r="M478" s="60">
        <v>100</v>
      </c>
      <c r="N478" s="60">
        <v>2</v>
      </c>
      <c r="O478" s="60">
        <v>1</v>
      </c>
      <c r="P478" s="60" t="s">
        <v>172</v>
      </c>
      <c r="Q478" s="60" t="s">
        <v>92</v>
      </c>
      <c r="R478" s="60" t="s">
        <v>20</v>
      </c>
      <c r="S478" s="60" t="s">
        <v>38</v>
      </c>
      <c r="T478" s="60" t="s">
        <v>94</v>
      </c>
      <c r="U478" s="60" t="s">
        <v>108</v>
      </c>
      <c r="V478" s="60" t="s">
        <v>92</v>
      </c>
      <c r="W478" s="60" t="s">
        <v>93</v>
      </c>
      <c r="X478" s="63" t="s">
        <v>102</v>
      </c>
    </row>
    <row r="479" spans="1:24">
      <c r="A479" s="60">
        <v>593</v>
      </c>
      <c r="B479" s="61" t="s">
        <v>1782</v>
      </c>
      <c r="C479" s="62" t="s">
        <v>1783</v>
      </c>
      <c r="D479" s="62" t="s">
        <v>140</v>
      </c>
      <c r="E479" s="60" t="s">
        <v>163</v>
      </c>
      <c r="F479" s="60" t="s">
        <v>87</v>
      </c>
      <c r="G479" s="60" t="s">
        <v>117</v>
      </c>
      <c r="H479" s="60" t="s">
        <v>707</v>
      </c>
      <c r="I479" s="60" t="s">
        <v>101</v>
      </c>
      <c r="J479" s="60" t="s">
        <v>2</v>
      </c>
      <c r="K479" s="60" t="s">
        <v>2</v>
      </c>
      <c r="L479" s="60" t="s">
        <v>87</v>
      </c>
      <c r="M479" s="60">
        <v>59</v>
      </c>
      <c r="N479" s="60" t="s">
        <v>87</v>
      </c>
      <c r="O479" s="60">
        <v>6</v>
      </c>
      <c r="P479" s="60" t="s">
        <v>740</v>
      </c>
      <c r="Q479" s="60" t="s">
        <v>92</v>
      </c>
      <c r="R479" s="60" t="s">
        <v>21</v>
      </c>
      <c r="S479" s="60" t="s">
        <v>3</v>
      </c>
      <c r="T479" s="60" t="s">
        <v>92</v>
      </c>
      <c r="U479" s="60" t="s">
        <v>108</v>
      </c>
      <c r="V479" s="60" t="s">
        <v>92</v>
      </c>
      <c r="W479" s="60" t="s">
        <v>101</v>
      </c>
      <c r="X479" s="63" t="s">
        <v>102</v>
      </c>
    </row>
    <row r="480" spans="1:24">
      <c r="A480" s="60">
        <v>971</v>
      </c>
      <c r="B480" s="61" t="s">
        <v>538</v>
      </c>
      <c r="C480" s="62" t="s">
        <v>539</v>
      </c>
      <c r="D480" s="62" t="s">
        <v>116</v>
      </c>
      <c r="E480" s="60" t="s">
        <v>157</v>
      </c>
      <c r="F480" s="60" t="s">
        <v>87</v>
      </c>
      <c r="G480" s="60" t="s">
        <v>117</v>
      </c>
      <c r="H480" s="60" t="s">
        <v>100</v>
      </c>
      <c r="I480" s="60" t="s">
        <v>101</v>
      </c>
      <c r="J480" s="60" t="s">
        <v>3</v>
      </c>
      <c r="K480" s="60" t="s">
        <v>3</v>
      </c>
      <c r="L480" s="60">
        <v>39</v>
      </c>
      <c r="M480" s="60" t="s">
        <v>87</v>
      </c>
      <c r="N480" s="60">
        <v>6</v>
      </c>
      <c r="O480" s="60" t="s">
        <v>87</v>
      </c>
      <c r="P480" s="60">
        <v>6</v>
      </c>
      <c r="Q480" s="60" t="s">
        <v>92</v>
      </c>
      <c r="R480" s="60" t="s">
        <v>21</v>
      </c>
      <c r="S480" s="60" t="s">
        <v>92</v>
      </c>
      <c r="T480" s="60" t="s">
        <v>94</v>
      </c>
      <c r="U480" s="60" t="s">
        <v>108</v>
      </c>
      <c r="V480" s="60" t="s">
        <v>92</v>
      </c>
      <c r="W480" s="60" t="s">
        <v>90</v>
      </c>
      <c r="X480" s="63" t="s">
        <v>102</v>
      </c>
    </row>
    <row r="481" spans="1:24">
      <c r="A481" s="60">
        <v>377</v>
      </c>
      <c r="B481" s="61" t="s">
        <v>540</v>
      </c>
      <c r="C481" s="62" t="s">
        <v>541</v>
      </c>
      <c r="D481" s="62" t="s">
        <v>126</v>
      </c>
      <c r="E481" s="60" t="s">
        <v>123</v>
      </c>
      <c r="F481" s="60" t="s">
        <v>87</v>
      </c>
      <c r="G481" s="60" t="s">
        <v>117</v>
      </c>
      <c r="H481" s="60" t="s">
        <v>100</v>
      </c>
      <c r="I481" s="60" t="s">
        <v>101</v>
      </c>
      <c r="J481" s="60" t="s">
        <v>2</v>
      </c>
      <c r="K481" s="60" t="s">
        <v>2</v>
      </c>
      <c r="L481" s="60">
        <v>170</v>
      </c>
      <c r="M481" s="60" t="s">
        <v>87</v>
      </c>
      <c r="N481" s="60">
        <v>12</v>
      </c>
      <c r="O481" s="60" t="s">
        <v>87</v>
      </c>
      <c r="P481" s="60">
        <v>12</v>
      </c>
      <c r="Q481" s="60" t="s">
        <v>22</v>
      </c>
      <c r="R481" s="60" t="s">
        <v>92</v>
      </c>
      <c r="S481" s="60" t="s">
        <v>92</v>
      </c>
      <c r="T481" s="60" t="s">
        <v>92</v>
      </c>
      <c r="U481" s="60" t="s">
        <v>101</v>
      </c>
      <c r="V481" s="60" t="s">
        <v>92</v>
      </c>
      <c r="W481" s="60" t="s">
        <v>93</v>
      </c>
      <c r="X481" s="63" t="s">
        <v>102</v>
      </c>
    </row>
    <row r="482" spans="1:24">
      <c r="A482" s="60">
        <v>53</v>
      </c>
      <c r="B482" s="61" t="s">
        <v>542</v>
      </c>
      <c r="C482" s="62" t="s">
        <v>543</v>
      </c>
      <c r="D482" s="62" t="s">
        <v>544</v>
      </c>
      <c r="E482" s="60" t="s">
        <v>86</v>
      </c>
      <c r="F482" s="60" t="s">
        <v>87</v>
      </c>
      <c r="G482" s="60" t="s">
        <v>142</v>
      </c>
      <c r="H482" s="60" t="s">
        <v>707</v>
      </c>
      <c r="I482" s="60" t="s">
        <v>90</v>
      </c>
      <c r="J482" s="60" t="s">
        <v>2</v>
      </c>
      <c r="K482" s="60" t="s">
        <v>2</v>
      </c>
      <c r="L482" s="60" t="s">
        <v>87</v>
      </c>
      <c r="M482" s="60">
        <v>66</v>
      </c>
      <c r="N482" s="60" t="s">
        <v>87</v>
      </c>
      <c r="O482" s="60">
        <v>9</v>
      </c>
      <c r="P482" s="60" t="s">
        <v>744</v>
      </c>
      <c r="Q482" s="60" t="s">
        <v>22</v>
      </c>
      <c r="R482" s="60" t="s">
        <v>21</v>
      </c>
      <c r="S482" s="60" t="s">
        <v>3</v>
      </c>
      <c r="T482" s="60" t="s">
        <v>92</v>
      </c>
      <c r="U482" s="60" t="s">
        <v>90</v>
      </c>
      <c r="V482" s="60" t="s">
        <v>92</v>
      </c>
      <c r="W482" s="60" t="s">
        <v>101</v>
      </c>
      <c r="X482" s="63" t="s">
        <v>95</v>
      </c>
    </row>
    <row r="483" spans="1:24">
      <c r="A483" s="60">
        <v>1272</v>
      </c>
      <c r="B483" s="61" t="s">
        <v>1784</v>
      </c>
      <c r="C483" s="62" t="s">
        <v>543</v>
      </c>
      <c r="D483" s="62" t="s">
        <v>1785</v>
      </c>
      <c r="E483" s="60" t="s">
        <v>226</v>
      </c>
      <c r="F483" s="60" t="s">
        <v>170</v>
      </c>
      <c r="G483" s="60" t="s">
        <v>150</v>
      </c>
      <c r="H483" s="60" t="s">
        <v>707</v>
      </c>
      <c r="I483" s="60" t="s">
        <v>90</v>
      </c>
      <c r="J483" s="60" t="s">
        <v>2</v>
      </c>
      <c r="K483" s="60" t="s">
        <v>2</v>
      </c>
      <c r="L483" s="60" t="s">
        <v>87</v>
      </c>
      <c r="M483" s="60">
        <v>100</v>
      </c>
      <c r="N483" s="60" t="s">
        <v>87</v>
      </c>
      <c r="O483" s="60">
        <v>1</v>
      </c>
      <c r="P483" s="60" t="s">
        <v>729</v>
      </c>
      <c r="Q483" s="60" t="s">
        <v>92</v>
      </c>
      <c r="R483" s="60" t="s">
        <v>21</v>
      </c>
      <c r="S483" s="60" t="s">
        <v>92</v>
      </c>
      <c r="T483" s="60" t="s">
        <v>92</v>
      </c>
      <c r="U483" s="60" t="s">
        <v>101</v>
      </c>
      <c r="V483" s="60" t="s">
        <v>92</v>
      </c>
      <c r="W483" s="60" t="s">
        <v>93</v>
      </c>
      <c r="X483" s="63" t="s">
        <v>95</v>
      </c>
    </row>
    <row r="484" spans="1:24">
      <c r="A484" s="60">
        <v>1101</v>
      </c>
      <c r="B484" s="61" t="s">
        <v>1786</v>
      </c>
      <c r="C484" s="62" t="s">
        <v>1787</v>
      </c>
      <c r="D484" s="62" t="s">
        <v>265</v>
      </c>
      <c r="E484" s="60" t="s">
        <v>249</v>
      </c>
      <c r="F484" s="60" t="s">
        <v>87</v>
      </c>
      <c r="G484" s="60" t="s">
        <v>171</v>
      </c>
      <c r="H484" s="60" t="s">
        <v>707</v>
      </c>
      <c r="I484" s="60" t="s">
        <v>90</v>
      </c>
      <c r="J484" s="60" t="s">
        <v>2</v>
      </c>
      <c r="K484" s="60" t="s">
        <v>2</v>
      </c>
      <c r="L484" s="60" t="s">
        <v>87</v>
      </c>
      <c r="M484" s="60">
        <v>20</v>
      </c>
      <c r="N484" s="60" t="s">
        <v>87</v>
      </c>
      <c r="O484" s="60">
        <v>7</v>
      </c>
      <c r="P484" s="60" t="s">
        <v>722</v>
      </c>
      <c r="Q484" s="60" t="s">
        <v>19</v>
      </c>
      <c r="R484" s="60" t="s">
        <v>20</v>
      </c>
      <c r="S484" s="60" t="s">
        <v>38</v>
      </c>
      <c r="T484" s="60" t="s">
        <v>94</v>
      </c>
      <c r="U484" s="60" t="s">
        <v>93</v>
      </c>
      <c r="V484" s="60" t="s">
        <v>92</v>
      </c>
      <c r="W484" s="60" t="s">
        <v>93</v>
      </c>
      <c r="X484" s="63" t="s">
        <v>95</v>
      </c>
    </row>
    <row r="485" spans="1:24">
      <c r="A485" s="60">
        <v>1066</v>
      </c>
      <c r="B485" s="61" t="s">
        <v>1788</v>
      </c>
      <c r="C485" s="62" t="s">
        <v>1789</v>
      </c>
      <c r="D485" s="62" t="s">
        <v>1652</v>
      </c>
      <c r="E485" s="60" t="s">
        <v>152</v>
      </c>
      <c r="F485" s="60" t="s">
        <v>87</v>
      </c>
      <c r="G485" s="60" t="s">
        <v>117</v>
      </c>
      <c r="H485" s="60" t="s">
        <v>100</v>
      </c>
      <c r="I485" s="60" t="s">
        <v>90</v>
      </c>
      <c r="J485" s="60" t="s">
        <v>3</v>
      </c>
      <c r="K485" s="60" t="s">
        <v>3</v>
      </c>
      <c r="L485" s="60">
        <v>7</v>
      </c>
      <c r="M485" s="60">
        <v>8</v>
      </c>
      <c r="N485" s="60">
        <v>4</v>
      </c>
      <c r="O485" s="60" t="s">
        <v>118</v>
      </c>
      <c r="P485" s="60" t="s">
        <v>174</v>
      </c>
      <c r="Q485" s="60" t="s">
        <v>92</v>
      </c>
      <c r="R485" s="60" t="s">
        <v>21</v>
      </c>
      <c r="S485" s="60" t="s">
        <v>37</v>
      </c>
      <c r="T485" s="60" t="s">
        <v>94</v>
      </c>
      <c r="U485" s="60" t="s">
        <v>108</v>
      </c>
      <c r="V485" s="60" t="s">
        <v>92</v>
      </c>
      <c r="W485" s="60" t="s">
        <v>93</v>
      </c>
      <c r="X485" s="63" t="s">
        <v>95</v>
      </c>
    </row>
    <row r="486" spans="1:24">
      <c r="A486" s="60">
        <v>1065</v>
      </c>
      <c r="B486" s="61" t="s">
        <v>1790</v>
      </c>
      <c r="C486" s="62" t="s">
        <v>1791</v>
      </c>
      <c r="D486" s="62" t="s">
        <v>214</v>
      </c>
      <c r="E486" s="60" t="s">
        <v>152</v>
      </c>
      <c r="F486" s="60" t="s">
        <v>87</v>
      </c>
      <c r="G486" s="60" t="s">
        <v>117</v>
      </c>
      <c r="H486" s="60" t="s">
        <v>707</v>
      </c>
      <c r="I486" s="60" t="s">
        <v>101</v>
      </c>
      <c r="J486" s="60" t="s">
        <v>2</v>
      </c>
      <c r="K486" s="60" t="s">
        <v>3</v>
      </c>
      <c r="L486" s="60" t="s">
        <v>87</v>
      </c>
      <c r="M486" s="60">
        <v>14</v>
      </c>
      <c r="N486" s="60" t="s">
        <v>87</v>
      </c>
      <c r="O486" s="60">
        <v>3</v>
      </c>
      <c r="P486" s="60" t="s">
        <v>727</v>
      </c>
      <c r="Q486" s="60" t="s">
        <v>92</v>
      </c>
      <c r="R486" s="60" t="s">
        <v>20</v>
      </c>
      <c r="S486" s="60" t="s">
        <v>3</v>
      </c>
      <c r="T486" s="60" t="s">
        <v>92</v>
      </c>
      <c r="U486" s="60" t="s">
        <v>93</v>
      </c>
      <c r="V486" s="60" t="s">
        <v>92</v>
      </c>
      <c r="W486" s="60" t="s">
        <v>93</v>
      </c>
      <c r="X486" s="63" t="s">
        <v>102</v>
      </c>
    </row>
    <row r="487" spans="1:24">
      <c r="A487" s="60">
        <v>870</v>
      </c>
      <c r="B487" s="61" t="s">
        <v>1792</v>
      </c>
      <c r="C487" s="62" t="s">
        <v>1793</v>
      </c>
      <c r="D487" s="62" t="s">
        <v>153</v>
      </c>
      <c r="E487" s="60" t="s">
        <v>190</v>
      </c>
      <c r="F487" s="60" t="s">
        <v>87</v>
      </c>
      <c r="G487" s="60" t="s">
        <v>150</v>
      </c>
      <c r="H487" s="60" t="s">
        <v>707</v>
      </c>
      <c r="I487" s="60" t="s">
        <v>90</v>
      </c>
      <c r="J487" s="60" t="s">
        <v>3</v>
      </c>
      <c r="K487" s="60" t="s">
        <v>3</v>
      </c>
      <c r="L487" s="60" t="s">
        <v>87</v>
      </c>
      <c r="M487" s="60">
        <v>29</v>
      </c>
      <c r="N487" s="60" t="s">
        <v>87</v>
      </c>
      <c r="O487" s="60">
        <v>15</v>
      </c>
      <c r="P487" s="60" t="s">
        <v>836</v>
      </c>
      <c r="Q487" s="60" t="s">
        <v>22</v>
      </c>
      <c r="R487" s="60" t="s">
        <v>92</v>
      </c>
      <c r="S487" s="60" t="s">
        <v>3</v>
      </c>
      <c r="T487" s="60" t="s">
        <v>94</v>
      </c>
      <c r="U487" s="60" t="s">
        <v>108</v>
      </c>
      <c r="V487" s="60" t="s">
        <v>94</v>
      </c>
      <c r="W487" s="60" t="s">
        <v>93</v>
      </c>
      <c r="X487" s="63" t="s">
        <v>95</v>
      </c>
    </row>
    <row r="488" spans="1:24">
      <c r="A488" s="60">
        <v>441</v>
      </c>
      <c r="B488" s="61" t="s">
        <v>1794</v>
      </c>
      <c r="C488" s="62" t="s">
        <v>1795</v>
      </c>
      <c r="D488" s="62" t="s">
        <v>392</v>
      </c>
      <c r="E488" s="60" t="s">
        <v>186</v>
      </c>
      <c r="F488" s="60" t="s">
        <v>87</v>
      </c>
      <c r="G488" s="60" t="s">
        <v>296</v>
      </c>
      <c r="H488" s="60" t="s">
        <v>707</v>
      </c>
      <c r="I488" s="60" t="s">
        <v>101</v>
      </c>
      <c r="J488" s="60" t="s">
        <v>2</v>
      </c>
      <c r="K488" s="60" t="s">
        <v>2</v>
      </c>
      <c r="L488" s="60" t="s">
        <v>87</v>
      </c>
      <c r="M488" s="60">
        <v>70</v>
      </c>
      <c r="N488" s="60" t="s">
        <v>87</v>
      </c>
      <c r="O488" s="60">
        <v>16</v>
      </c>
      <c r="P488" s="60" t="s">
        <v>726</v>
      </c>
      <c r="Q488" s="60" t="s">
        <v>24</v>
      </c>
      <c r="R488" s="60" t="s">
        <v>20</v>
      </c>
      <c r="S488" s="60" t="s">
        <v>92</v>
      </c>
      <c r="T488" s="60" t="s">
        <v>94</v>
      </c>
      <c r="U488" s="60" t="s">
        <v>108</v>
      </c>
      <c r="V488" s="60" t="s">
        <v>92</v>
      </c>
      <c r="W488" s="60" t="s">
        <v>101</v>
      </c>
      <c r="X488" s="63" t="s">
        <v>102</v>
      </c>
    </row>
    <row r="489" spans="1:24">
      <c r="A489" s="60">
        <v>328</v>
      </c>
      <c r="B489" s="61" t="s">
        <v>1030</v>
      </c>
      <c r="C489" s="62" t="s">
        <v>1031</v>
      </c>
      <c r="D489" s="62" t="s">
        <v>379</v>
      </c>
      <c r="E489" s="60" t="s">
        <v>50</v>
      </c>
      <c r="F489" s="60" t="s">
        <v>87</v>
      </c>
      <c r="G489" s="60" t="s">
        <v>88</v>
      </c>
      <c r="H489" s="60" t="s">
        <v>707</v>
      </c>
      <c r="I489" s="60" t="s">
        <v>90</v>
      </c>
      <c r="J489" s="60" t="s">
        <v>2</v>
      </c>
      <c r="K489" s="60" t="s">
        <v>2</v>
      </c>
      <c r="L489" s="60" t="s">
        <v>87</v>
      </c>
      <c r="M489" s="60">
        <v>47</v>
      </c>
      <c r="N489" s="60" t="s">
        <v>87</v>
      </c>
      <c r="O489" s="60">
        <v>4</v>
      </c>
      <c r="P489" s="60" t="s">
        <v>754</v>
      </c>
      <c r="Q489" s="60" t="s">
        <v>92</v>
      </c>
      <c r="R489" s="60" t="s">
        <v>20</v>
      </c>
      <c r="S489" s="60" t="s">
        <v>3</v>
      </c>
      <c r="T489" s="60" t="s">
        <v>94</v>
      </c>
      <c r="U489" s="60" t="s">
        <v>90</v>
      </c>
      <c r="V489" s="60" t="s">
        <v>92</v>
      </c>
      <c r="W489" s="60" t="s">
        <v>101</v>
      </c>
      <c r="X489" s="63" t="s">
        <v>95</v>
      </c>
    </row>
    <row r="490" spans="1:24">
      <c r="A490" s="60">
        <v>1188</v>
      </c>
      <c r="B490" s="61" t="s">
        <v>1032</v>
      </c>
      <c r="C490" s="62" t="s">
        <v>1033</v>
      </c>
      <c r="D490" s="62" t="s">
        <v>674</v>
      </c>
      <c r="E490" s="60" t="s">
        <v>163</v>
      </c>
      <c r="F490" s="60" t="s">
        <v>87</v>
      </c>
      <c r="G490" s="60" t="s">
        <v>182</v>
      </c>
      <c r="H490" s="60" t="s">
        <v>707</v>
      </c>
      <c r="I490" s="60" t="s">
        <v>101</v>
      </c>
      <c r="J490" s="60" t="s">
        <v>71</v>
      </c>
      <c r="K490" s="60" t="s">
        <v>2</v>
      </c>
      <c r="L490" s="60" t="s">
        <v>87</v>
      </c>
      <c r="M490" s="60">
        <v>11</v>
      </c>
      <c r="N490" s="60" t="s">
        <v>87</v>
      </c>
      <c r="O490" s="60">
        <v>12</v>
      </c>
      <c r="P490" s="60" t="s">
        <v>782</v>
      </c>
      <c r="Q490" s="60" t="s">
        <v>24</v>
      </c>
      <c r="R490" s="60" t="s">
        <v>92</v>
      </c>
      <c r="S490" s="60" t="s">
        <v>23</v>
      </c>
      <c r="T490" s="60" t="s">
        <v>94</v>
      </c>
      <c r="U490" s="60" t="s">
        <v>93</v>
      </c>
      <c r="V490" s="60" t="s">
        <v>92</v>
      </c>
      <c r="W490" s="60" t="s">
        <v>90</v>
      </c>
      <c r="X490" s="63" t="s">
        <v>102</v>
      </c>
    </row>
    <row r="491" spans="1:24">
      <c r="A491" s="60">
        <v>51</v>
      </c>
      <c r="B491" s="61" t="s">
        <v>1796</v>
      </c>
      <c r="C491" s="62" t="s">
        <v>1393</v>
      </c>
      <c r="D491" s="62" t="s">
        <v>1076</v>
      </c>
      <c r="E491" s="60" t="s">
        <v>86</v>
      </c>
      <c r="F491" s="60" t="s">
        <v>87</v>
      </c>
      <c r="G491" s="60" t="s">
        <v>147</v>
      </c>
      <c r="H491" s="60" t="s">
        <v>100</v>
      </c>
      <c r="I491" s="60" t="s">
        <v>90</v>
      </c>
      <c r="J491" s="60" t="s">
        <v>3</v>
      </c>
      <c r="K491" s="60" t="s">
        <v>3</v>
      </c>
      <c r="L491" s="60">
        <v>63</v>
      </c>
      <c r="M491" s="60" t="s">
        <v>87</v>
      </c>
      <c r="N491" s="60">
        <v>6</v>
      </c>
      <c r="O491" s="60" t="s">
        <v>87</v>
      </c>
      <c r="P491" s="60">
        <v>6</v>
      </c>
      <c r="Q491" s="60" t="s">
        <v>22</v>
      </c>
      <c r="R491" s="60" t="s">
        <v>21</v>
      </c>
      <c r="S491" s="60" t="s">
        <v>92</v>
      </c>
      <c r="T491" s="60" t="s">
        <v>92</v>
      </c>
      <c r="U491" s="60" t="s">
        <v>108</v>
      </c>
      <c r="V491" s="60" t="s">
        <v>92</v>
      </c>
      <c r="W491" s="60" t="s">
        <v>93</v>
      </c>
      <c r="X491" s="63" t="s">
        <v>95</v>
      </c>
    </row>
    <row r="492" spans="1:24">
      <c r="A492" s="60">
        <v>894</v>
      </c>
      <c r="B492" s="61" t="s">
        <v>1034</v>
      </c>
      <c r="C492" s="62" t="s">
        <v>1035</v>
      </c>
      <c r="D492" s="62" t="s">
        <v>566</v>
      </c>
      <c r="E492" s="60" t="s">
        <v>127</v>
      </c>
      <c r="F492" s="60" t="s">
        <v>87</v>
      </c>
      <c r="G492" s="60" t="s">
        <v>158</v>
      </c>
      <c r="H492" s="60" t="s">
        <v>707</v>
      </c>
      <c r="I492" s="60" t="s">
        <v>90</v>
      </c>
      <c r="J492" s="60" t="s">
        <v>2</v>
      </c>
      <c r="K492" s="60" t="s">
        <v>2</v>
      </c>
      <c r="L492" s="60" t="s">
        <v>87</v>
      </c>
      <c r="M492" s="60">
        <v>64</v>
      </c>
      <c r="N492" s="60" t="s">
        <v>87</v>
      </c>
      <c r="O492" s="60">
        <v>16</v>
      </c>
      <c r="P492" s="60" t="s">
        <v>726</v>
      </c>
      <c r="Q492" s="60" t="s">
        <v>22</v>
      </c>
      <c r="R492" s="60" t="s">
        <v>20</v>
      </c>
      <c r="S492" s="60" t="s">
        <v>92</v>
      </c>
      <c r="T492" s="60" t="s">
        <v>92</v>
      </c>
      <c r="U492" s="60" t="s">
        <v>93</v>
      </c>
      <c r="V492" s="60" t="s">
        <v>92</v>
      </c>
      <c r="W492" s="60" t="s">
        <v>93</v>
      </c>
      <c r="X492" s="63" t="s">
        <v>95</v>
      </c>
    </row>
    <row r="493" spans="1:24">
      <c r="A493" s="60">
        <v>1244</v>
      </c>
      <c r="B493" s="61" t="s">
        <v>1036</v>
      </c>
      <c r="C493" s="62" t="s">
        <v>1037</v>
      </c>
      <c r="D493" s="62" t="s">
        <v>977</v>
      </c>
      <c r="E493" s="60" t="s">
        <v>328</v>
      </c>
      <c r="F493" s="60" t="s">
        <v>170</v>
      </c>
      <c r="G493" s="60" t="s">
        <v>88</v>
      </c>
      <c r="H493" s="60" t="s">
        <v>707</v>
      </c>
      <c r="I493" s="60" t="s">
        <v>101</v>
      </c>
      <c r="J493" s="60" t="s">
        <v>2</v>
      </c>
      <c r="K493" s="60" t="s">
        <v>2</v>
      </c>
      <c r="L493" s="60" t="s">
        <v>87</v>
      </c>
      <c r="M493" s="60">
        <v>100</v>
      </c>
      <c r="N493" s="60" t="s">
        <v>87</v>
      </c>
      <c r="O493" s="60">
        <v>2</v>
      </c>
      <c r="P493" s="60" t="s">
        <v>807</v>
      </c>
      <c r="Q493" s="60" t="s">
        <v>92</v>
      </c>
      <c r="R493" s="60" t="s">
        <v>21</v>
      </c>
      <c r="S493" s="60" t="s">
        <v>23</v>
      </c>
      <c r="T493" s="60" t="s">
        <v>94</v>
      </c>
      <c r="U493" s="60" t="s">
        <v>108</v>
      </c>
      <c r="V493" s="60" t="s">
        <v>94</v>
      </c>
      <c r="W493" s="60" t="s">
        <v>90</v>
      </c>
      <c r="X493" s="63" t="s">
        <v>102</v>
      </c>
    </row>
    <row r="494" spans="1:24">
      <c r="A494" s="60">
        <v>565</v>
      </c>
      <c r="B494" s="61" t="s">
        <v>1038</v>
      </c>
      <c r="C494" s="62" t="s">
        <v>1039</v>
      </c>
      <c r="D494" s="62" t="s">
        <v>853</v>
      </c>
      <c r="E494" s="60" t="s">
        <v>128</v>
      </c>
      <c r="F494" s="60" t="s">
        <v>87</v>
      </c>
      <c r="G494" s="60" t="s">
        <v>171</v>
      </c>
      <c r="H494" s="60" t="s">
        <v>707</v>
      </c>
      <c r="I494" s="60" t="s">
        <v>101</v>
      </c>
      <c r="J494" s="60" t="s">
        <v>3</v>
      </c>
      <c r="K494" s="60" t="s">
        <v>3</v>
      </c>
      <c r="L494" s="60" t="s">
        <v>87</v>
      </c>
      <c r="M494" s="60">
        <v>33</v>
      </c>
      <c r="N494" s="60" t="s">
        <v>87</v>
      </c>
      <c r="O494" s="60">
        <v>5</v>
      </c>
      <c r="P494" s="60" t="s">
        <v>708</v>
      </c>
      <c r="Q494" s="60" t="s">
        <v>92</v>
      </c>
      <c r="R494" s="60" t="s">
        <v>20</v>
      </c>
      <c r="S494" s="60" t="s">
        <v>37</v>
      </c>
      <c r="T494" s="60" t="s">
        <v>94</v>
      </c>
      <c r="U494" s="60" t="s">
        <v>101</v>
      </c>
      <c r="V494" s="60" t="s">
        <v>94</v>
      </c>
      <c r="W494" s="60" t="s">
        <v>90</v>
      </c>
      <c r="X494" s="63" t="s">
        <v>102</v>
      </c>
    </row>
    <row r="495" spans="1:24">
      <c r="A495" s="60">
        <v>420</v>
      </c>
      <c r="B495" s="61" t="s">
        <v>1394</v>
      </c>
      <c r="C495" s="62" t="s">
        <v>1040</v>
      </c>
      <c r="D495" s="62" t="s">
        <v>1395</v>
      </c>
      <c r="E495" s="60" t="s">
        <v>249</v>
      </c>
      <c r="F495" s="60" t="s">
        <v>170</v>
      </c>
      <c r="G495" s="60" t="s">
        <v>99</v>
      </c>
      <c r="H495" s="60" t="s">
        <v>707</v>
      </c>
      <c r="I495" s="60" t="s">
        <v>101</v>
      </c>
      <c r="J495" s="60" t="s">
        <v>2</v>
      </c>
      <c r="K495" s="60" t="s">
        <v>2</v>
      </c>
      <c r="L495" s="60" t="s">
        <v>87</v>
      </c>
      <c r="M495" s="60">
        <v>100</v>
      </c>
      <c r="N495" s="60" t="s">
        <v>87</v>
      </c>
      <c r="O495" s="60">
        <v>1</v>
      </c>
      <c r="P495" s="60" t="s">
        <v>729</v>
      </c>
      <c r="Q495" s="60" t="s">
        <v>19</v>
      </c>
      <c r="R495" s="60" t="s">
        <v>21</v>
      </c>
      <c r="S495" s="60" t="s">
        <v>38</v>
      </c>
      <c r="T495" s="60" t="s">
        <v>94</v>
      </c>
      <c r="U495" s="60" t="s">
        <v>108</v>
      </c>
      <c r="V495" s="60" t="s">
        <v>92</v>
      </c>
      <c r="W495" s="60" t="s">
        <v>90</v>
      </c>
      <c r="X495" s="63" t="s">
        <v>102</v>
      </c>
    </row>
    <row r="496" spans="1:24">
      <c r="A496" s="60">
        <v>351</v>
      </c>
      <c r="B496" s="61" t="s">
        <v>548</v>
      </c>
      <c r="C496" s="62" t="s">
        <v>549</v>
      </c>
      <c r="D496" s="62" t="s">
        <v>487</v>
      </c>
      <c r="E496" s="60" t="s">
        <v>152</v>
      </c>
      <c r="F496" s="60" t="s">
        <v>87</v>
      </c>
      <c r="G496" s="60" t="s">
        <v>150</v>
      </c>
      <c r="H496" s="60" t="s">
        <v>100</v>
      </c>
      <c r="I496" s="60" t="s">
        <v>90</v>
      </c>
      <c r="J496" s="60" t="s">
        <v>3</v>
      </c>
      <c r="K496" s="60" t="s">
        <v>3</v>
      </c>
      <c r="L496" s="60">
        <v>67</v>
      </c>
      <c r="M496" s="60" t="s">
        <v>87</v>
      </c>
      <c r="N496" s="60">
        <v>8</v>
      </c>
      <c r="O496" s="60" t="s">
        <v>87</v>
      </c>
      <c r="P496" s="60">
        <v>8</v>
      </c>
      <c r="Q496" s="60" t="s">
        <v>22</v>
      </c>
      <c r="R496" s="60" t="s">
        <v>21</v>
      </c>
      <c r="S496" s="60" t="s">
        <v>92</v>
      </c>
      <c r="T496" s="60" t="s">
        <v>94</v>
      </c>
      <c r="U496" s="60" t="s">
        <v>108</v>
      </c>
      <c r="V496" s="60" t="s">
        <v>94</v>
      </c>
      <c r="W496" s="60" t="s">
        <v>93</v>
      </c>
      <c r="X496" s="63" t="s">
        <v>95</v>
      </c>
    </row>
    <row r="497" spans="1:24">
      <c r="A497" s="60">
        <v>1038</v>
      </c>
      <c r="B497" s="61" t="s">
        <v>1797</v>
      </c>
      <c r="C497" s="62" t="s">
        <v>1798</v>
      </c>
      <c r="D497" s="62" t="s">
        <v>487</v>
      </c>
      <c r="E497" s="60" t="s">
        <v>408</v>
      </c>
      <c r="F497" s="60" t="s">
        <v>87</v>
      </c>
      <c r="G497" s="60" t="s">
        <v>112</v>
      </c>
      <c r="H497" s="60" t="s">
        <v>707</v>
      </c>
      <c r="I497" s="60" t="s">
        <v>90</v>
      </c>
      <c r="J497" s="60" t="s">
        <v>2</v>
      </c>
      <c r="K497" s="60" t="s">
        <v>3</v>
      </c>
      <c r="L497" s="60" t="s">
        <v>87</v>
      </c>
      <c r="M497" s="60">
        <v>5</v>
      </c>
      <c r="N497" s="60" t="s">
        <v>87</v>
      </c>
      <c r="O497" s="60">
        <v>9</v>
      </c>
      <c r="P497" s="60" t="s">
        <v>744</v>
      </c>
      <c r="Q497" s="60" t="s">
        <v>92</v>
      </c>
      <c r="R497" s="60" t="s">
        <v>21</v>
      </c>
      <c r="S497" s="60" t="s">
        <v>92</v>
      </c>
      <c r="T497" s="60" t="s">
        <v>92</v>
      </c>
      <c r="U497" s="60" t="s">
        <v>108</v>
      </c>
      <c r="V497" s="60" t="s">
        <v>92</v>
      </c>
      <c r="W497" s="60" t="s">
        <v>93</v>
      </c>
      <c r="X497" s="63" t="s">
        <v>95</v>
      </c>
    </row>
    <row r="498" spans="1:24">
      <c r="A498" s="60">
        <v>972</v>
      </c>
      <c r="B498" s="61" t="s">
        <v>550</v>
      </c>
      <c r="C498" s="62" t="s">
        <v>551</v>
      </c>
      <c r="D498" s="62" t="s">
        <v>367</v>
      </c>
      <c r="E498" s="60" t="s">
        <v>157</v>
      </c>
      <c r="F498" s="60" t="s">
        <v>87</v>
      </c>
      <c r="G498" s="60" t="s">
        <v>99</v>
      </c>
      <c r="H498" s="60" t="s">
        <v>100</v>
      </c>
      <c r="I498" s="60" t="s">
        <v>90</v>
      </c>
      <c r="J498" s="60" t="s">
        <v>2</v>
      </c>
      <c r="K498" s="60" t="s">
        <v>2</v>
      </c>
      <c r="L498" s="60">
        <v>5</v>
      </c>
      <c r="M498" s="60" t="s">
        <v>87</v>
      </c>
      <c r="N498" s="60">
        <v>3</v>
      </c>
      <c r="O498" s="60" t="s">
        <v>87</v>
      </c>
      <c r="P498" s="60">
        <v>3</v>
      </c>
      <c r="Q498" s="60" t="s">
        <v>92</v>
      </c>
      <c r="R498" s="60" t="s">
        <v>21</v>
      </c>
      <c r="S498" s="60" t="s">
        <v>92</v>
      </c>
      <c r="T498" s="60" t="s">
        <v>92</v>
      </c>
      <c r="U498" s="60" t="s">
        <v>101</v>
      </c>
      <c r="V498" s="60" t="s">
        <v>92</v>
      </c>
      <c r="W498" s="60" t="s">
        <v>93</v>
      </c>
      <c r="X498" s="63" t="s">
        <v>95</v>
      </c>
    </row>
    <row r="499" spans="1:24">
      <c r="A499" s="60">
        <v>861</v>
      </c>
      <c r="B499" s="61" t="s">
        <v>553</v>
      </c>
      <c r="C499" s="62" t="s">
        <v>554</v>
      </c>
      <c r="D499" s="62" t="s">
        <v>126</v>
      </c>
      <c r="E499" s="60" t="s">
        <v>190</v>
      </c>
      <c r="F499" s="60" t="s">
        <v>87</v>
      </c>
      <c r="G499" s="60" t="s">
        <v>158</v>
      </c>
      <c r="H499" s="60" t="s">
        <v>100</v>
      </c>
      <c r="I499" s="60" t="s">
        <v>101</v>
      </c>
      <c r="J499" s="60" t="s">
        <v>2</v>
      </c>
      <c r="K499" s="60" t="s">
        <v>2</v>
      </c>
      <c r="L499" s="60">
        <v>111</v>
      </c>
      <c r="M499" s="60" t="s">
        <v>87</v>
      </c>
      <c r="N499" s="60">
        <v>8</v>
      </c>
      <c r="O499" s="60" t="s">
        <v>87</v>
      </c>
      <c r="P499" s="60">
        <v>8</v>
      </c>
      <c r="Q499" s="60" t="s">
        <v>92</v>
      </c>
      <c r="R499" s="60" t="s">
        <v>20</v>
      </c>
      <c r="S499" s="60" t="s">
        <v>92</v>
      </c>
      <c r="T499" s="60" t="s">
        <v>92</v>
      </c>
      <c r="U499" s="60" t="s">
        <v>90</v>
      </c>
      <c r="V499" s="60" t="s">
        <v>92</v>
      </c>
      <c r="W499" s="60" t="s">
        <v>93</v>
      </c>
      <c r="X499" s="63" t="s">
        <v>102</v>
      </c>
    </row>
    <row r="500" spans="1:24">
      <c r="A500" s="60">
        <v>257</v>
      </c>
      <c r="B500" s="61" t="s">
        <v>555</v>
      </c>
      <c r="C500" s="62" t="s">
        <v>556</v>
      </c>
      <c r="D500" s="62" t="s">
        <v>443</v>
      </c>
      <c r="E500" s="60" t="s">
        <v>98</v>
      </c>
      <c r="F500" s="60" t="s">
        <v>87</v>
      </c>
      <c r="G500" s="60" t="s">
        <v>142</v>
      </c>
      <c r="H500" s="60" t="s">
        <v>100</v>
      </c>
      <c r="I500" s="60" t="s">
        <v>101</v>
      </c>
      <c r="J500" s="60" t="s">
        <v>2</v>
      </c>
      <c r="K500" s="60" t="s">
        <v>2</v>
      </c>
      <c r="L500" s="60">
        <v>165</v>
      </c>
      <c r="M500" s="60" t="s">
        <v>87</v>
      </c>
      <c r="N500" s="60">
        <v>4</v>
      </c>
      <c r="O500" s="60" t="s">
        <v>87</v>
      </c>
      <c r="P500" s="60">
        <v>4</v>
      </c>
      <c r="Q500" s="60" t="s">
        <v>92</v>
      </c>
      <c r="R500" s="60" t="s">
        <v>92</v>
      </c>
      <c r="S500" s="60" t="s">
        <v>37</v>
      </c>
      <c r="T500" s="60" t="s">
        <v>94</v>
      </c>
      <c r="U500" s="60" t="s">
        <v>101</v>
      </c>
      <c r="V500" s="60" t="s">
        <v>92</v>
      </c>
      <c r="W500" s="60" t="s">
        <v>93</v>
      </c>
      <c r="X500" s="63" t="s">
        <v>102</v>
      </c>
    </row>
    <row r="501" spans="1:24">
      <c r="A501" s="60">
        <v>1238</v>
      </c>
      <c r="B501" s="61" t="s">
        <v>1799</v>
      </c>
      <c r="C501" s="62" t="s">
        <v>1800</v>
      </c>
      <c r="D501" s="62" t="s">
        <v>1801</v>
      </c>
      <c r="E501" s="60" t="s">
        <v>42</v>
      </c>
      <c r="F501" s="60" t="s">
        <v>87</v>
      </c>
      <c r="G501" s="60" t="s">
        <v>150</v>
      </c>
      <c r="H501" s="60" t="s">
        <v>100</v>
      </c>
      <c r="I501" s="60" t="s">
        <v>90</v>
      </c>
      <c r="J501" s="60" t="s">
        <v>2</v>
      </c>
      <c r="K501" s="60" t="s">
        <v>2</v>
      </c>
      <c r="L501" s="60">
        <v>25</v>
      </c>
      <c r="M501" s="60">
        <v>3</v>
      </c>
      <c r="N501" s="60">
        <v>6</v>
      </c>
      <c r="O501" s="60" t="s">
        <v>91</v>
      </c>
      <c r="P501" s="60" t="s">
        <v>159</v>
      </c>
      <c r="Q501" s="60" t="s">
        <v>22</v>
      </c>
      <c r="R501" s="60" t="s">
        <v>21</v>
      </c>
      <c r="S501" s="60" t="s">
        <v>37</v>
      </c>
      <c r="T501" s="60" t="s">
        <v>94</v>
      </c>
      <c r="U501" s="60" t="s">
        <v>108</v>
      </c>
      <c r="V501" s="60" t="s">
        <v>92</v>
      </c>
      <c r="W501" s="60" t="s">
        <v>93</v>
      </c>
      <c r="X501" s="63" t="s">
        <v>95</v>
      </c>
    </row>
    <row r="502" spans="1:24">
      <c r="A502" s="60">
        <v>1206</v>
      </c>
      <c r="B502" s="61" t="s">
        <v>1041</v>
      </c>
      <c r="C502" s="62" t="s">
        <v>558</v>
      </c>
      <c r="D502" s="62" t="s">
        <v>920</v>
      </c>
      <c r="E502" s="60" t="s">
        <v>154</v>
      </c>
      <c r="F502" s="60" t="s">
        <v>87</v>
      </c>
      <c r="G502" s="60" t="s">
        <v>799</v>
      </c>
      <c r="H502" s="60" t="s">
        <v>707</v>
      </c>
      <c r="I502" s="60" t="s">
        <v>101</v>
      </c>
      <c r="J502" s="60" t="s">
        <v>2</v>
      </c>
      <c r="K502" s="60" t="s">
        <v>2</v>
      </c>
      <c r="L502" s="60" t="s">
        <v>87</v>
      </c>
      <c r="M502" s="60">
        <v>29</v>
      </c>
      <c r="N502" s="60" t="s">
        <v>87</v>
      </c>
      <c r="O502" s="60">
        <v>4</v>
      </c>
      <c r="P502" s="60" t="s">
        <v>754</v>
      </c>
      <c r="Q502" s="60" t="s">
        <v>22</v>
      </c>
      <c r="R502" s="60" t="s">
        <v>92</v>
      </c>
      <c r="S502" s="60" t="s">
        <v>38</v>
      </c>
      <c r="T502" s="60" t="s">
        <v>94</v>
      </c>
      <c r="U502" s="60" t="s">
        <v>108</v>
      </c>
      <c r="V502" s="60" t="s">
        <v>94</v>
      </c>
      <c r="W502" s="60" t="s">
        <v>93</v>
      </c>
      <c r="X502" s="63" t="s">
        <v>102</v>
      </c>
    </row>
    <row r="503" spans="1:24">
      <c r="A503" s="60">
        <v>680</v>
      </c>
      <c r="B503" s="61" t="s">
        <v>557</v>
      </c>
      <c r="C503" s="62" t="s">
        <v>558</v>
      </c>
      <c r="D503" s="62" t="s">
        <v>559</v>
      </c>
      <c r="E503" s="60" t="s">
        <v>42</v>
      </c>
      <c r="F503" s="60" t="s">
        <v>87</v>
      </c>
      <c r="G503" s="60" t="s">
        <v>150</v>
      </c>
      <c r="H503" s="60" t="s">
        <v>100</v>
      </c>
      <c r="I503" s="60" t="s">
        <v>90</v>
      </c>
      <c r="J503" s="60" t="s">
        <v>2</v>
      </c>
      <c r="K503" s="60" t="s">
        <v>2</v>
      </c>
      <c r="L503" s="60">
        <v>109</v>
      </c>
      <c r="M503" s="60" t="s">
        <v>87</v>
      </c>
      <c r="N503" s="60">
        <v>4</v>
      </c>
      <c r="O503" s="60" t="s">
        <v>87</v>
      </c>
      <c r="P503" s="60">
        <v>4</v>
      </c>
      <c r="Q503" s="60" t="s">
        <v>92</v>
      </c>
      <c r="R503" s="60" t="s">
        <v>92</v>
      </c>
      <c r="S503" s="60" t="s">
        <v>92</v>
      </c>
      <c r="T503" s="60" t="s">
        <v>92</v>
      </c>
      <c r="U503" s="60" t="s">
        <v>108</v>
      </c>
      <c r="V503" s="60" t="s">
        <v>92</v>
      </c>
      <c r="W503" s="60" t="s">
        <v>90</v>
      </c>
      <c r="X503" s="63" t="s">
        <v>95</v>
      </c>
    </row>
    <row r="504" spans="1:24">
      <c r="A504" s="60">
        <v>411</v>
      </c>
      <c r="B504" s="61" t="s">
        <v>560</v>
      </c>
      <c r="C504" s="62" t="s">
        <v>561</v>
      </c>
      <c r="D504" s="62" t="s">
        <v>562</v>
      </c>
      <c r="E504" s="60" t="s">
        <v>249</v>
      </c>
      <c r="F504" s="60" t="s">
        <v>87</v>
      </c>
      <c r="G504" s="60" t="s">
        <v>112</v>
      </c>
      <c r="H504" s="60" t="s">
        <v>100</v>
      </c>
      <c r="I504" s="60" t="s">
        <v>90</v>
      </c>
      <c r="J504" s="60" t="s">
        <v>3</v>
      </c>
      <c r="K504" s="60" t="s">
        <v>3</v>
      </c>
      <c r="L504" s="60">
        <v>79</v>
      </c>
      <c r="M504" s="60" t="s">
        <v>87</v>
      </c>
      <c r="N504" s="60">
        <v>3</v>
      </c>
      <c r="O504" s="60" t="s">
        <v>87</v>
      </c>
      <c r="P504" s="60">
        <v>3</v>
      </c>
      <c r="Q504" s="60" t="s">
        <v>92</v>
      </c>
      <c r="R504" s="60" t="s">
        <v>92</v>
      </c>
      <c r="S504" s="60" t="s">
        <v>23</v>
      </c>
      <c r="T504" s="60" t="s">
        <v>94</v>
      </c>
      <c r="U504" s="60" t="s">
        <v>90</v>
      </c>
      <c r="V504" s="60" t="s">
        <v>92</v>
      </c>
      <c r="W504" s="60" t="s">
        <v>90</v>
      </c>
      <c r="X504" s="63" t="s">
        <v>95</v>
      </c>
    </row>
    <row r="505" spans="1:24">
      <c r="A505" s="60">
        <v>173</v>
      </c>
      <c r="B505" s="61" t="s">
        <v>1042</v>
      </c>
      <c r="C505" s="62" t="s">
        <v>561</v>
      </c>
      <c r="D505" s="62" t="s">
        <v>1043</v>
      </c>
      <c r="E505" s="60" t="s">
        <v>127</v>
      </c>
      <c r="F505" s="60" t="s">
        <v>87</v>
      </c>
      <c r="G505" s="60" t="s">
        <v>155</v>
      </c>
      <c r="H505" s="60" t="s">
        <v>707</v>
      </c>
      <c r="I505" s="60" t="s">
        <v>90</v>
      </c>
      <c r="J505" s="60" t="s">
        <v>3</v>
      </c>
      <c r="K505" s="60" t="s">
        <v>3</v>
      </c>
      <c r="L505" s="60" t="s">
        <v>87</v>
      </c>
      <c r="M505" s="60">
        <v>41</v>
      </c>
      <c r="N505" s="60" t="s">
        <v>87</v>
      </c>
      <c r="O505" s="60">
        <v>5</v>
      </c>
      <c r="P505" s="60" t="s">
        <v>708</v>
      </c>
      <c r="Q505" s="60" t="s">
        <v>24</v>
      </c>
      <c r="R505" s="60" t="s">
        <v>92</v>
      </c>
      <c r="S505" s="60" t="s">
        <v>92</v>
      </c>
      <c r="T505" s="60" t="s">
        <v>94</v>
      </c>
      <c r="U505" s="60" t="s">
        <v>108</v>
      </c>
      <c r="V505" s="60" t="s">
        <v>92</v>
      </c>
      <c r="W505" s="60" t="s">
        <v>93</v>
      </c>
      <c r="X505" s="63" t="s">
        <v>95</v>
      </c>
    </row>
    <row r="506" spans="1:24">
      <c r="A506" s="60">
        <v>498</v>
      </c>
      <c r="B506" s="61" t="s">
        <v>1802</v>
      </c>
      <c r="C506" s="62" t="s">
        <v>561</v>
      </c>
      <c r="D506" s="62" t="s">
        <v>1803</v>
      </c>
      <c r="E506" s="60" t="s">
        <v>149</v>
      </c>
      <c r="F506" s="60" t="s">
        <v>87</v>
      </c>
      <c r="G506" s="60" t="s">
        <v>112</v>
      </c>
      <c r="H506" s="60" t="s">
        <v>100</v>
      </c>
      <c r="I506" s="60" t="s">
        <v>101</v>
      </c>
      <c r="J506" s="60" t="s">
        <v>2</v>
      </c>
      <c r="K506" s="60" t="s">
        <v>2</v>
      </c>
      <c r="L506" s="60">
        <v>114</v>
      </c>
      <c r="M506" s="60">
        <v>4</v>
      </c>
      <c r="N506" s="60">
        <v>7</v>
      </c>
      <c r="O506" s="60" t="s">
        <v>633</v>
      </c>
      <c r="P506" s="60" t="s">
        <v>552</v>
      </c>
      <c r="Q506" s="60" t="s">
        <v>92</v>
      </c>
      <c r="R506" s="60" t="s">
        <v>21</v>
      </c>
      <c r="S506" s="60" t="s">
        <v>92</v>
      </c>
      <c r="T506" s="60" t="s">
        <v>92</v>
      </c>
      <c r="U506" s="60" t="s">
        <v>108</v>
      </c>
      <c r="V506" s="60" t="s">
        <v>92</v>
      </c>
      <c r="W506" s="60" t="s">
        <v>93</v>
      </c>
      <c r="X506" s="63" t="s">
        <v>102</v>
      </c>
    </row>
    <row r="507" spans="1:24">
      <c r="A507" s="60">
        <v>266</v>
      </c>
      <c r="B507" s="61" t="s">
        <v>1044</v>
      </c>
      <c r="C507" s="62" t="s">
        <v>1045</v>
      </c>
      <c r="D507" s="62" t="s">
        <v>1046</v>
      </c>
      <c r="E507" s="60" t="s">
        <v>98</v>
      </c>
      <c r="F507" s="60" t="s">
        <v>87</v>
      </c>
      <c r="G507" s="60" t="s">
        <v>171</v>
      </c>
      <c r="H507" s="60" t="s">
        <v>707</v>
      </c>
      <c r="I507" s="60" t="s">
        <v>101</v>
      </c>
      <c r="J507" s="60" t="s">
        <v>3</v>
      </c>
      <c r="K507" s="60" t="s">
        <v>3</v>
      </c>
      <c r="L507" s="60" t="s">
        <v>87</v>
      </c>
      <c r="M507" s="60">
        <v>57</v>
      </c>
      <c r="N507" s="60" t="s">
        <v>87</v>
      </c>
      <c r="O507" s="60">
        <v>12</v>
      </c>
      <c r="P507" s="60" t="s">
        <v>782</v>
      </c>
      <c r="Q507" s="60" t="s">
        <v>19</v>
      </c>
      <c r="R507" s="60" t="s">
        <v>20</v>
      </c>
      <c r="S507" s="60" t="s">
        <v>3</v>
      </c>
      <c r="T507" s="60" t="s">
        <v>94</v>
      </c>
      <c r="U507" s="60" t="s">
        <v>108</v>
      </c>
      <c r="V507" s="60" t="s">
        <v>94</v>
      </c>
      <c r="W507" s="60" t="s">
        <v>90</v>
      </c>
      <c r="X507" s="63" t="s">
        <v>102</v>
      </c>
    </row>
    <row r="508" spans="1:24">
      <c r="A508" s="60">
        <v>989</v>
      </c>
      <c r="B508" s="61" t="s">
        <v>1047</v>
      </c>
      <c r="C508" s="62" t="s">
        <v>1048</v>
      </c>
      <c r="D508" s="62" t="s">
        <v>1049</v>
      </c>
      <c r="E508" s="60" t="s">
        <v>169</v>
      </c>
      <c r="F508" s="60" t="s">
        <v>87</v>
      </c>
      <c r="G508" s="60" t="s">
        <v>88</v>
      </c>
      <c r="H508" s="60" t="s">
        <v>707</v>
      </c>
      <c r="I508" s="60" t="s">
        <v>90</v>
      </c>
      <c r="J508" s="60" t="s">
        <v>2</v>
      </c>
      <c r="K508" s="60" t="s">
        <v>2</v>
      </c>
      <c r="L508" s="60" t="s">
        <v>87</v>
      </c>
      <c r="M508" s="60">
        <v>12</v>
      </c>
      <c r="N508" s="60" t="s">
        <v>87</v>
      </c>
      <c r="O508" s="60">
        <v>4</v>
      </c>
      <c r="P508" s="60" t="s">
        <v>754</v>
      </c>
      <c r="Q508" s="60" t="s">
        <v>22</v>
      </c>
      <c r="R508" s="60" t="s">
        <v>21</v>
      </c>
      <c r="S508" s="60" t="s">
        <v>38</v>
      </c>
      <c r="T508" s="60" t="s">
        <v>94</v>
      </c>
      <c r="U508" s="60" t="s">
        <v>108</v>
      </c>
      <c r="V508" s="60" t="s">
        <v>92</v>
      </c>
      <c r="W508" s="60" t="s">
        <v>93</v>
      </c>
      <c r="X508" s="63" t="s">
        <v>95</v>
      </c>
    </row>
    <row r="509" spans="1:24">
      <c r="A509" s="60">
        <v>869</v>
      </c>
      <c r="B509" s="61" t="s">
        <v>563</v>
      </c>
      <c r="C509" s="62" t="s">
        <v>564</v>
      </c>
      <c r="D509" s="62" t="s">
        <v>565</v>
      </c>
      <c r="E509" s="60" t="s">
        <v>190</v>
      </c>
      <c r="F509" s="60" t="s">
        <v>87</v>
      </c>
      <c r="G509" s="60" t="s">
        <v>88</v>
      </c>
      <c r="H509" s="60" t="s">
        <v>89</v>
      </c>
      <c r="I509" s="60" t="s">
        <v>101</v>
      </c>
      <c r="J509" s="60" t="s">
        <v>2</v>
      </c>
      <c r="K509" s="60" t="s">
        <v>2</v>
      </c>
      <c r="L509" s="60">
        <v>6</v>
      </c>
      <c r="M509" s="60">
        <v>70</v>
      </c>
      <c r="N509" s="60">
        <v>4</v>
      </c>
      <c r="O509" s="60" t="s">
        <v>368</v>
      </c>
      <c r="P509" s="60" t="s">
        <v>1591</v>
      </c>
      <c r="Q509" s="60" t="s">
        <v>22</v>
      </c>
      <c r="R509" s="60" t="s">
        <v>20</v>
      </c>
      <c r="S509" s="60" t="s">
        <v>3</v>
      </c>
      <c r="T509" s="60" t="s">
        <v>94</v>
      </c>
      <c r="U509" s="60" t="s">
        <v>108</v>
      </c>
      <c r="V509" s="60" t="s">
        <v>92</v>
      </c>
      <c r="W509" s="60" t="s">
        <v>93</v>
      </c>
      <c r="X509" s="63" t="s">
        <v>102</v>
      </c>
    </row>
    <row r="510" spans="1:24">
      <c r="A510" s="60">
        <v>83</v>
      </c>
      <c r="B510" s="61" t="s">
        <v>1050</v>
      </c>
      <c r="C510" s="62" t="s">
        <v>1051</v>
      </c>
      <c r="D510" s="62" t="s">
        <v>126</v>
      </c>
      <c r="E510" s="60" t="s">
        <v>133</v>
      </c>
      <c r="F510" s="60" t="s">
        <v>87</v>
      </c>
      <c r="G510" s="60" t="s">
        <v>99</v>
      </c>
      <c r="H510" s="60" t="s">
        <v>707</v>
      </c>
      <c r="I510" s="60" t="s">
        <v>101</v>
      </c>
      <c r="J510" s="60" t="s">
        <v>2</v>
      </c>
      <c r="K510" s="60" t="s">
        <v>2</v>
      </c>
      <c r="L510" s="60" t="s">
        <v>87</v>
      </c>
      <c r="M510" s="60">
        <v>52</v>
      </c>
      <c r="N510" s="60" t="s">
        <v>87</v>
      </c>
      <c r="O510" s="60">
        <v>11</v>
      </c>
      <c r="P510" s="60" t="s">
        <v>778</v>
      </c>
      <c r="Q510" s="60" t="s">
        <v>92</v>
      </c>
      <c r="R510" s="60" t="s">
        <v>92</v>
      </c>
      <c r="S510" s="60" t="s">
        <v>23</v>
      </c>
      <c r="T510" s="60" t="s">
        <v>94</v>
      </c>
      <c r="U510" s="60" t="s">
        <v>108</v>
      </c>
      <c r="V510" s="60" t="s">
        <v>92</v>
      </c>
      <c r="W510" s="60" t="s">
        <v>90</v>
      </c>
      <c r="X510" s="63" t="s">
        <v>102</v>
      </c>
    </row>
    <row r="511" spans="1:24">
      <c r="A511" s="60">
        <v>648</v>
      </c>
      <c r="B511" s="61" t="s">
        <v>567</v>
      </c>
      <c r="C511" s="62" t="s">
        <v>568</v>
      </c>
      <c r="D511" s="62" t="s">
        <v>358</v>
      </c>
      <c r="E511" s="60" t="s">
        <v>106</v>
      </c>
      <c r="F511" s="60" t="s">
        <v>87</v>
      </c>
      <c r="G511" s="60" t="s">
        <v>164</v>
      </c>
      <c r="H511" s="60" t="s">
        <v>100</v>
      </c>
      <c r="I511" s="60" t="s">
        <v>101</v>
      </c>
      <c r="J511" s="60" t="s">
        <v>2</v>
      </c>
      <c r="K511" s="60" t="s">
        <v>2</v>
      </c>
      <c r="L511" s="60">
        <v>107</v>
      </c>
      <c r="M511" s="60">
        <v>6</v>
      </c>
      <c r="N511" s="60">
        <v>4</v>
      </c>
      <c r="O511" s="60" t="s">
        <v>118</v>
      </c>
      <c r="P511" s="60" t="s">
        <v>174</v>
      </c>
      <c r="Q511" s="60" t="s">
        <v>92</v>
      </c>
      <c r="R511" s="60" t="s">
        <v>92</v>
      </c>
      <c r="S511" s="60" t="s">
        <v>92</v>
      </c>
      <c r="T511" s="60" t="s">
        <v>94</v>
      </c>
      <c r="U511" s="60" t="s">
        <v>90</v>
      </c>
      <c r="V511" s="60" t="s">
        <v>92</v>
      </c>
      <c r="W511" s="60" t="s">
        <v>93</v>
      </c>
      <c r="X511" s="63" t="s">
        <v>102</v>
      </c>
    </row>
    <row r="512" spans="1:24">
      <c r="A512" s="60">
        <v>1090</v>
      </c>
      <c r="B512" s="61" t="s">
        <v>1052</v>
      </c>
      <c r="C512" s="62" t="s">
        <v>1053</v>
      </c>
      <c r="D512" s="62" t="s">
        <v>1054</v>
      </c>
      <c r="E512" s="60" t="s">
        <v>249</v>
      </c>
      <c r="F512" s="60" t="s">
        <v>87</v>
      </c>
      <c r="G512" s="60" t="s">
        <v>117</v>
      </c>
      <c r="H512" s="60" t="s">
        <v>707</v>
      </c>
      <c r="I512" s="60" t="s">
        <v>90</v>
      </c>
      <c r="J512" s="60" t="s">
        <v>2</v>
      </c>
      <c r="K512" s="60" t="s">
        <v>2</v>
      </c>
      <c r="L512" s="60" t="s">
        <v>87</v>
      </c>
      <c r="M512" s="60">
        <v>12</v>
      </c>
      <c r="N512" s="60" t="s">
        <v>87</v>
      </c>
      <c r="O512" s="60">
        <v>5</v>
      </c>
      <c r="P512" s="60" t="s">
        <v>708</v>
      </c>
      <c r="Q512" s="60" t="s">
        <v>92</v>
      </c>
      <c r="R512" s="60" t="s">
        <v>92</v>
      </c>
      <c r="S512" s="60" t="s">
        <v>92</v>
      </c>
      <c r="T512" s="60" t="s">
        <v>94</v>
      </c>
      <c r="U512" s="60" t="s">
        <v>108</v>
      </c>
      <c r="V512" s="60" t="s">
        <v>94</v>
      </c>
      <c r="W512" s="60" t="s">
        <v>90</v>
      </c>
      <c r="X512" s="63" t="s">
        <v>95</v>
      </c>
    </row>
    <row r="513" spans="1:24">
      <c r="A513" s="60">
        <v>297</v>
      </c>
      <c r="B513" s="61" t="s">
        <v>1804</v>
      </c>
      <c r="C513" s="62" t="s">
        <v>1805</v>
      </c>
      <c r="D513" s="62" t="s">
        <v>1806</v>
      </c>
      <c r="E513" s="60" t="s">
        <v>408</v>
      </c>
      <c r="F513" s="60" t="s">
        <v>87</v>
      </c>
      <c r="G513" s="60" t="s">
        <v>150</v>
      </c>
      <c r="H513" s="60" t="s">
        <v>707</v>
      </c>
      <c r="I513" s="60" t="s">
        <v>101</v>
      </c>
      <c r="J513" s="60" t="s">
        <v>2</v>
      </c>
      <c r="K513" s="60" t="s">
        <v>2</v>
      </c>
      <c r="L513" s="60" t="s">
        <v>87</v>
      </c>
      <c r="M513" s="60">
        <v>28</v>
      </c>
      <c r="N513" s="60" t="s">
        <v>87</v>
      </c>
      <c r="O513" s="60">
        <v>13</v>
      </c>
      <c r="P513" s="60" t="s">
        <v>718</v>
      </c>
      <c r="Q513" s="60" t="s">
        <v>22</v>
      </c>
      <c r="R513" s="60" t="s">
        <v>21</v>
      </c>
      <c r="S513" s="60" t="s">
        <v>3</v>
      </c>
      <c r="T513" s="60" t="s">
        <v>92</v>
      </c>
      <c r="U513" s="60" t="s">
        <v>93</v>
      </c>
      <c r="V513" s="60" t="s">
        <v>94</v>
      </c>
      <c r="W513" s="60" t="s">
        <v>93</v>
      </c>
      <c r="X513" s="63" t="s">
        <v>102</v>
      </c>
    </row>
    <row r="514" spans="1:24">
      <c r="A514" s="60">
        <v>287</v>
      </c>
      <c r="B514" s="61" t="s">
        <v>1199</v>
      </c>
      <c r="C514" s="62" t="s">
        <v>1200</v>
      </c>
      <c r="D514" s="62" t="s">
        <v>299</v>
      </c>
      <c r="E514" s="60" t="s">
        <v>408</v>
      </c>
      <c r="F514" s="60" t="s">
        <v>87</v>
      </c>
      <c r="G514" s="60" t="s">
        <v>150</v>
      </c>
      <c r="H514" s="60" t="s">
        <v>100</v>
      </c>
      <c r="I514" s="60" t="s">
        <v>90</v>
      </c>
      <c r="J514" s="60" t="s">
        <v>2</v>
      </c>
      <c r="K514" s="60" t="s">
        <v>2</v>
      </c>
      <c r="L514" s="60">
        <v>161</v>
      </c>
      <c r="M514" s="60" t="s">
        <v>87</v>
      </c>
      <c r="N514" s="60">
        <v>5</v>
      </c>
      <c r="O514" s="60" t="s">
        <v>87</v>
      </c>
      <c r="P514" s="60">
        <v>5</v>
      </c>
      <c r="Q514" s="60" t="s">
        <v>19</v>
      </c>
      <c r="R514" s="60" t="s">
        <v>20</v>
      </c>
      <c r="S514" s="60" t="s">
        <v>92</v>
      </c>
      <c r="T514" s="60" t="s">
        <v>94</v>
      </c>
      <c r="U514" s="60" t="s">
        <v>101</v>
      </c>
      <c r="V514" s="60" t="s">
        <v>92</v>
      </c>
      <c r="W514" s="60" t="s">
        <v>108</v>
      </c>
      <c r="X514" s="63" t="s">
        <v>95</v>
      </c>
    </row>
    <row r="515" spans="1:24">
      <c r="A515" s="60">
        <v>984</v>
      </c>
      <c r="B515" s="61" t="s">
        <v>1217</v>
      </c>
      <c r="C515" s="62" t="s">
        <v>1218</v>
      </c>
      <c r="D515" s="62" t="s">
        <v>1219</v>
      </c>
      <c r="E515" s="60" t="s">
        <v>218</v>
      </c>
      <c r="F515" s="60" t="s">
        <v>87</v>
      </c>
      <c r="G515" s="60" t="s">
        <v>142</v>
      </c>
      <c r="H515" s="60" t="s">
        <v>89</v>
      </c>
      <c r="I515" s="60" t="s">
        <v>90</v>
      </c>
      <c r="J515" s="60" t="s">
        <v>2</v>
      </c>
      <c r="K515" s="60" t="s">
        <v>2</v>
      </c>
      <c r="L515" s="60">
        <v>6</v>
      </c>
      <c r="M515" s="60">
        <v>14</v>
      </c>
      <c r="N515" s="60">
        <v>4</v>
      </c>
      <c r="O515" s="60" t="s">
        <v>633</v>
      </c>
      <c r="P515" s="60" t="s">
        <v>634</v>
      </c>
      <c r="Q515" s="60" t="s">
        <v>92</v>
      </c>
      <c r="R515" s="60" t="s">
        <v>20</v>
      </c>
      <c r="S515" s="60" t="s">
        <v>92</v>
      </c>
      <c r="T515" s="60" t="s">
        <v>94</v>
      </c>
      <c r="U515" s="60" t="s">
        <v>93</v>
      </c>
      <c r="V515" s="60" t="s">
        <v>94</v>
      </c>
      <c r="W515" s="60" t="s">
        <v>90</v>
      </c>
      <c r="X515" s="63" t="s">
        <v>95</v>
      </c>
    </row>
    <row r="516" spans="1:24">
      <c r="A516" s="60">
        <v>326</v>
      </c>
      <c r="B516" s="61" t="s">
        <v>569</v>
      </c>
      <c r="C516" s="62" t="s">
        <v>570</v>
      </c>
      <c r="D516" s="62" t="s">
        <v>571</v>
      </c>
      <c r="E516" s="60" t="s">
        <v>50</v>
      </c>
      <c r="F516" s="60" t="s">
        <v>87</v>
      </c>
      <c r="G516" s="60" t="s">
        <v>150</v>
      </c>
      <c r="H516" s="60" t="s">
        <v>89</v>
      </c>
      <c r="I516" s="60" t="s">
        <v>90</v>
      </c>
      <c r="J516" s="60" t="s">
        <v>2</v>
      </c>
      <c r="K516" s="60" t="s">
        <v>3</v>
      </c>
      <c r="L516" s="60">
        <v>45</v>
      </c>
      <c r="M516" s="60">
        <v>42</v>
      </c>
      <c r="N516" s="60">
        <v>9</v>
      </c>
      <c r="O516" s="60" t="s">
        <v>695</v>
      </c>
      <c r="P516" s="60" t="s">
        <v>696</v>
      </c>
      <c r="Q516" s="60" t="s">
        <v>19</v>
      </c>
      <c r="R516" s="60" t="s">
        <v>92</v>
      </c>
      <c r="S516" s="60" t="s">
        <v>92</v>
      </c>
      <c r="T516" s="60" t="s">
        <v>94</v>
      </c>
      <c r="U516" s="60" t="s">
        <v>101</v>
      </c>
      <c r="V516" s="60" t="s">
        <v>92</v>
      </c>
      <c r="W516" s="60" t="s">
        <v>93</v>
      </c>
      <c r="X516" s="63" t="s">
        <v>95</v>
      </c>
    </row>
    <row r="517" spans="1:24">
      <c r="A517" s="60">
        <v>47</v>
      </c>
      <c r="B517" s="61" t="s">
        <v>572</v>
      </c>
      <c r="C517" s="62" t="s">
        <v>573</v>
      </c>
      <c r="D517" s="62" t="s">
        <v>574</v>
      </c>
      <c r="E517" s="60" t="s">
        <v>86</v>
      </c>
      <c r="F517" s="60" t="s">
        <v>87</v>
      </c>
      <c r="G517" s="60" t="s">
        <v>150</v>
      </c>
      <c r="H517" s="60" t="s">
        <v>100</v>
      </c>
      <c r="I517" s="60" t="s">
        <v>90</v>
      </c>
      <c r="J517" s="60" t="s">
        <v>2</v>
      </c>
      <c r="K517" s="60" t="s">
        <v>2</v>
      </c>
      <c r="L517" s="60">
        <v>172</v>
      </c>
      <c r="M517" s="60" t="s">
        <v>87</v>
      </c>
      <c r="N517" s="60">
        <v>3</v>
      </c>
      <c r="O517" s="60" t="s">
        <v>87</v>
      </c>
      <c r="P517" s="60">
        <v>3</v>
      </c>
      <c r="Q517" s="60" t="s">
        <v>22</v>
      </c>
      <c r="R517" s="60" t="s">
        <v>20</v>
      </c>
      <c r="S517" s="60" t="s">
        <v>3</v>
      </c>
      <c r="T517" s="60" t="s">
        <v>92</v>
      </c>
      <c r="U517" s="60" t="s">
        <v>108</v>
      </c>
      <c r="V517" s="60" t="s">
        <v>92</v>
      </c>
      <c r="W517" s="60" t="s">
        <v>93</v>
      </c>
      <c r="X517" s="63" t="s">
        <v>95</v>
      </c>
    </row>
    <row r="518" spans="1:24">
      <c r="A518" s="60">
        <v>1007</v>
      </c>
      <c r="B518" s="61" t="s">
        <v>1055</v>
      </c>
      <c r="C518" s="62" t="s">
        <v>1056</v>
      </c>
      <c r="D518" s="62" t="s">
        <v>262</v>
      </c>
      <c r="E518" s="60" t="s">
        <v>98</v>
      </c>
      <c r="F518" s="60" t="s">
        <v>87</v>
      </c>
      <c r="G518" s="60" t="s">
        <v>150</v>
      </c>
      <c r="H518" s="60" t="s">
        <v>707</v>
      </c>
      <c r="I518" s="60" t="s">
        <v>101</v>
      </c>
      <c r="J518" s="60" t="s">
        <v>2</v>
      </c>
      <c r="K518" s="60" t="s">
        <v>2</v>
      </c>
      <c r="L518" s="60" t="s">
        <v>87</v>
      </c>
      <c r="M518" s="60">
        <v>28</v>
      </c>
      <c r="N518" s="60" t="s">
        <v>87</v>
      </c>
      <c r="O518" s="60">
        <v>13</v>
      </c>
      <c r="P518" s="60" t="s">
        <v>718</v>
      </c>
      <c r="Q518" s="60" t="s">
        <v>22</v>
      </c>
      <c r="R518" s="60" t="s">
        <v>21</v>
      </c>
      <c r="S518" s="60" t="s">
        <v>23</v>
      </c>
      <c r="T518" s="60" t="s">
        <v>94</v>
      </c>
      <c r="U518" s="60" t="s">
        <v>108</v>
      </c>
      <c r="V518" s="60" t="s">
        <v>94</v>
      </c>
      <c r="W518" s="60" t="s">
        <v>101</v>
      </c>
      <c r="X518" s="63" t="s">
        <v>102</v>
      </c>
    </row>
    <row r="519" spans="1:24">
      <c r="A519" s="60">
        <v>437</v>
      </c>
      <c r="B519" s="61" t="s">
        <v>575</v>
      </c>
      <c r="C519" s="62" t="s">
        <v>576</v>
      </c>
      <c r="D519" s="62" t="s">
        <v>358</v>
      </c>
      <c r="E519" s="60" t="s">
        <v>127</v>
      </c>
      <c r="F519" s="60" t="s">
        <v>87</v>
      </c>
      <c r="G519" s="60" t="s">
        <v>182</v>
      </c>
      <c r="H519" s="60" t="s">
        <v>100</v>
      </c>
      <c r="I519" s="60" t="s">
        <v>101</v>
      </c>
      <c r="J519" s="60" t="s">
        <v>3</v>
      </c>
      <c r="K519" s="60" t="s">
        <v>3</v>
      </c>
      <c r="L519" s="60">
        <v>221</v>
      </c>
      <c r="M519" s="60" t="s">
        <v>87</v>
      </c>
      <c r="N519" s="60">
        <v>16</v>
      </c>
      <c r="O519" s="60" t="s">
        <v>87</v>
      </c>
      <c r="P519" s="60">
        <v>16</v>
      </c>
      <c r="Q519" s="60" t="s">
        <v>19</v>
      </c>
      <c r="R519" s="60" t="s">
        <v>20</v>
      </c>
      <c r="S519" s="60" t="s">
        <v>37</v>
      </c>
      <c r="T519" s="60" t="s">
        <v>94</v>
      </c>
      <c r="U519" s="60" t="s">
        <v>90</v>
      </c>
      <c r="V519" s="60" t="s">
        <v>92</v>
      </c>
      <c r="W519" s="60" t="s">
        <v>108</v>
      </c>
      <c r="X519" s="63" t="s">
        <v>102</v>
      </c>
    </row>
    <row r="520" spans="1:24">
      <c r="A520" s="60">
        <v>86</v>
      </c>
      <c r="B520" s="61" t="s">
        <v>1057</v>
      </c>
      <c r="C520" s="62" t="s">
        <v>1058</v>
      </c>
      <c r="D520" s="62" t="s">
        <v>177</v>
      </c>
      <c r="E520" s="60" t="s">
        <v>133</v>
      </c>
      <c r="F520" s="60" t="s">
        <v>87</v>
      </c>
      <c r="G520" s="60" t="s">
        <v>99</v>
      </c>
      <c r="H520" s="60" t="s">
        <v>707</v>
      </c>
      <c r="I520" s="60" t="s">
        <v>90</v>
      </c>
      <c r="J520" s="60" t="s">
        <v>2</v>
      </c>
      <c r="K520" s="60" t="s">
        <v>2</v>
      </c>
      <c r="L520" s="60" t="s">
        <v>87</v>
      </c>
      <c r="M520" s="60">
        <v>49</v>
      </c>
      <c r="N520" s="60" t="s">
        <v>87</v>
      </c>
      <c r="O520" s="60">
        <v>9</v>
      </c>
      <c r="P520" s="60" t="s">
        <v>744</v>
      </c>
      <c r="Q520" s="60" t="s">
        <v>24</v>
      </c>
      <c r="R520" s="60" t="s">
        <v>21</v>
      </c>
      <c r="S520" s="60" t="s">
        <v>3</v>
      </c>
      <c r="T520" s="60" t="s">
        <v>94</v>
      </c>
      <c r="U520" s="60" t="s">
        <v>108</v>
      </c>
      <c r="V520" s="60" t="s">
        <v>92</v>
      </c>
      <c r="W520" s="60" t="s">
        <v>93</v>
      </c>
      <c r="X520" s="63" t="s">
        <v>95</v>
      </c>
    </row>
    <row r="521" spans="1:24">
      <c r="A521" s="60">
        <v>835</v>
      </c>
      <c r="B521" s="61" t="s">
        <v>1268</v>
      </c>
      <c r="C521" s="62" t="s">
        <v>1269</v>
      </c>
      <c r="D521" s="62" t="s">
        <v>238</v>
      </c>
      <c r="E521" s="60" t="s">
        <v>209</v>
      </c>
      <c r="F521" s="60" t="s">
        <v>87</v>
      </c>
      <c r="G521" s="60" t="s">
        <v>150</v>
      </c>
      <c r="H521" s="60" t="s">
        <v>707</v>
      </c>
      <c r="I521" s="60" t="s">
        <v>101</v>
      </c>
      <c r="J521" s="60" t="s">
        <v>2</v>
      </c>
      <c r="K521" s="60" t="s">
        <v>2</v>
      </c>
      <c r="L521" s="60" t="s">
        <v>87</v>
      </c>
      <c r="M521" s="60">
        <v>59</v>
      </c>
      <c r="N521" s="60" t="s">
        <v>87</v>
      </c>
      <c r="O521" s="60">
        <v>7</v>
      </c>
      <c r="P521" s="60" t="s">
        <v>722</v>
      </c>
      <c r="Q521" s="60" t="s">
        <v>19</v>
      </c>
      <c r="R521" s="60" t="s">
        <v>92</v>
      </c>
      <c r="S521" s="60" t="s">
        <v>92</v>
      </c>
      <c r="T521" s="60" t="s">
        <v>92</v>
      </c>
      <c r="U521" s="60" t="s">
        <v>93</v>
      </c>
      <c r="V521" s="60" t="s">
        <v>92</v>
      </c>
      <c r="W521" s="60" t="s">
        <v>90</v>
      </c>
      <c r="X521" s="63" t="s">
        <v>102</v>
      </c>
    </row>
    <row r="522" spans="1:24">
      <c r="A522" s="60">
        <v>177</v>
      </c>
      <c r="B522" s="61" t="s">
        <v>1059</v>
      </c>
      <c r="C522" s="62" t="s">
        <v>1060</v>
      </c>
      <c r="D522" s="62" t="s">
        <v>162</v>
      </c>
      <c r="E522" s="60" t="s">
        <v>157</v>
      </c>
      <c r="F522" s="60" t="s">
        <v>87</v>
      </c>
      <c r="G522" s="60" t="s">
        <v>129</v>
      </c>
      <c r="H522" s="60" t="s">
        <v>707</v>
      </c>
      <c r="I522" s="60" t="s">
        <v>101</v>
      </c>
      <c r="J522" s="60" t="s">
        <v>2</v>
      </c>
      <c r="K522" s="60" t="s">
        <v>2</v>
      </c>
      <c r="L522" s="60" t="s">
        <v>87</v>
      </c>
      <c r="M522" s="60">
        <v>50</v>
      </c>
      <c r="N522" s="60" t="s">
        <v>87</v>
      </c>
      <c r="O522" s="60">
        <v>4</v>
      </c>
      <c r="P522" s="60" t="s">
        <v>754</v>
      </c>
      <c r="Q522" s="60" t="s">
        <v>19</v>
      </c>
      <c r="R522" s="60" t="s">
        <v>20</v>
      </c>
      <c r="S522" s="60" t="s">
        <v>92</v>
      </c>
      <c r="T522" s="60" t="s">
        <v>94</v>
      </c>
      <c r="U522" s="60" t="s">
        <v>108</v>
      </c>
      <c r="V522" s="60" t="s">
        <v>92</v>
      </c>
      <c r="W522" s="60" t="s">
        <v>93</v>
      </c>
      <c r="X522" s="63" t="s">
        <v>102</v>
      </c>
    </row>
    <row r="523" spans="1:24">
      <c r="A523" s="60">
        <v>77</v>
      </c>
      <c r="B523" s="61" t="s">
        <v>577</v>
      </c>
      <c r="C523" s="62" t="s">
        <v>578</v>
      </c>
      <c r="D523" s="62" t="s">
        <v>110</v>
      </c>
      <c r="E523" s="60" t="s">
        <v>133</v>
      </c>
      <c r="F523" s="60" t="s">
        <v>87</v>
      </c>
      <c r="G523" s="60" t="s">
        <v>150</v>
      </c>
      <c r="H523" s="60" t="s">
        <v>100</v>
      </c>
      <c r="I523" s="60" t="s">
        <v>90</v>
      </c>
      <c r="J523" s="60" t="s">
        <v>2</v>
      </c>
      <c r="K523" s="60" t="s">
        <v>3</v>
      </c>
      <c r="L523" s="60">
        <v>207</v>
      </c>
      <c r="M523" s="60" t="s">
        <v>87</v>
      </c>
      <c r="N523" s="60">
        <v>11</v>
      </c>
      <c r="O523" s="60" t="s">
        <v>87</v>
      </c>
      <c r="P523" s="60">
        <v>11</v>
      </c>
      <c r="Q523" s="60" t="s">
        <v>22</v>
      </c>
      <c r="R523" s="60" t="s">
        <v>20</v>
      </c>
      <c r="S523" s="60" t="s">
        <v>37</v>
      </c>
      <c r="T523" s="60" t="s">
        <v>94</v>
      </c>
      <c r="U523" s="60" t="s">
        <v>101</v>
      </c>
      <c r="V523" s="60" t="s">
        <v>92</v>
      </c>
      <c r="W523" s="60" t="s">
        <v>90</v>
      </c>
      <c r="X523" s="63" t="s">
        <v>95</v>
      </c>
    </row>
    <row r="524" spans="1:24">
      <c r="A524" s="60">
        <v>378</v>
      </c>
      <c r="B524" s="61" t="s">
        <v>579</v>
      </c>
      <c r="C524" s="62" t="s">
        <v>580</v>
      </c>
      <c r="D524" s="62" t="s">
        <v>581</v>
      </c>
      <c r="E524" s="60" t="s">
        <v>123</v>
      </c>
      <c r="F524" s="60" t="s">
        <v>87</v>
      </c>
      <c r="G524" s="60" t="s">
        <v>117</v>
      </c>
      <c r="H524" s="60" t="s">
        <v>100</v>
      </c>
      <c r="I524" s="60" t="s">
        <v>101</v>
      </c>
      <c r="J524" s="60" t="s">
        <v>2</v>
      </c>
      <c r="K524" s="60" t="s">
        <v>2</v>
      </c>
      <c r="L524" s="60">
        <v>152</v>
      </c>
      <c r="M524" s="60">
        <v>12</v>
      </c>
      <c r="N524" s="60">
        <v>9</v>
      </c>
      <c r="O524" s="60" t="s">
        <v>368</v>
      </c>
      <c r="P524" s="60" t="s">
        <v>340</v>
      </c>
      <c r="Q524" s="60" t="s">
        <v>22</v>
      </c>
      <c r="R524" s="60" t="s">
        <v>20</v>
      </c>
      <c r="S524" s="60" t="s">
        <v>92</v>
      </c>
      <c r="T524" s="60" t="s">
        <v>94</v>
      </c>
      <c r="U524" s="60" t="s">
        <v>90</v>
      </c>
      <c r="V524" s="60" t="s">
        <v>92</v>
      </c>
      <c r="W524" s="60" t="s">
        <v>90</v>
      </c>
      <c r="X524" s="63" t="s">
        <v>102</v>
      </c>
    </row>
    <row r="525" spans="1:24">
      <c r="A525" s="60">
        <v>360</v>
      </c>
      <c r="B525" s="61" t="s">
        <v>1807</v>
      </c>
      <c r="C525" s="62" t="s">
        <v>580</v>
      </c>
      <c r="D525" s="62" t="s">
        <v>1808</v>
      </c>
      <c r="E525" s="60" t="s">
        <v>127</v>
      </c>
      <c r="F525" s="60" t="s">
        <v>87</v>
      </c>
      <c r="G525" s="60" t="s">
        <v>150</v>
      </c>
      <c r="H525" s="60" t="s">
        <v>707</v>
      </c>
      <c r="I525" s="60" t="s">
        <v>90</v>
      </c>
      <c r="J525" s="60" t="s">
        <v>2</v>
      </c>
      <c r="K525" s="60" t="s">
        <v>2</v>
      </c>
      <c r="L525" s="60" t="s">
        <v>87</v>
      </c>
      <c r="M525" s="60">
        <v>24</v>
      </c>
      <c r="N525" s="60" t="s">
        <v>87</v>
      </c>
      <c r="O525" s="60">
        <v>3</v>
      </c>
      <c r="P525" s="60" t="s">
        <v>727</v>
      </c>
      <c r="Q525" s="60" t="s">
        <v>92</v>
      </c>
      <c r="R525" s="60" t="s">
        <v>92</v>
      </c>
      <c r="S525" s="60" t="s">
        <v>92</v>
      </c>
      <c r="T525" s="60" t="s">
        <v>94</v>
      </c>
      <c r="U525" s="60" t="s">
        <v>108</v>
      </c>
      <c r="V525" s="60" t="s">
        <v>92</v>
      </c>
      <c r="W525" s="60" t="s">
        <v>93</v>
      </c>
      <c r="X525" s="63" t="s">
        <v>95</v>
      </c>
    </row>
    <row r="526" spans="1:24">
      <c r="A526" s="60">
        <v>1061</v>
      </c>
      <c r="B526" s="61" t="s">
        <v>1398</v>
      </c>
      <c r="C526" s="62" t="s">
        <v>580</v>
      </c>
      <c r="D526" s="62" t="s">
        <v>1399</v>
      </c>
      <c r="E526" s="60" t="s">
        <v>127</v>
      </c>
      <c r="F526" s="60" t="s">
        <v>170</v>
      </c>
      <c r="G526" s="60" t="s">
        <v>117</v>
      </c>
      <c r="H526" s="60" t="s">
        <v>707</v>
      </c>
      <c r="I526" s="60" t="s">
        <v>90</v>
      </c>
      <c r="J526" s="60" t="s">
        <v>2</v>
      </c>
      <c r="K526" s="60" t="s">
        <v>2</v>
      </c>
      <c r="L526" s="60" t="s">
        <v>87</v>
      </c>
      <c r="M526" s="60">
        <v>100</v>
      </c>
      <c r="N526" s="60" t="s">
        <v>87</v>
      </c>
      <c r="O526" s="60">
        <v>1</v>
      </c>
      <c r="P526" s="60" t="s">
        <v>729</v>
      </c>
      <c r="Q526" s="60" t="s">
        <v>92</v>
      </c>
      <c r="R526" s="60" t="s">
        <v>21</v>
      </c>
      <c r="S526" s="60" t="s">
        <v>37</v>
      </c>
      <c r="T526" s="60" t="s">
        <v>94</v>
      </c>
      <c r="U526" s="60" t="s">
        <v>108</v>
      </c>
      <c r="V526" s="60" t="s">
        <v>92</v>
      </c>
      <c r="W526" s="60" t="s">
        <v>93</v>
      </c>
      <c r="X526" s="63" t="s">
        <v>95</v>
      </c>
    </row>
    <row r="527" spans="1:24">
      <c r="A527" s="60">
        <v>1152</v>
      </c>
      <c r="B527" s="61" t="s">
        <v>1247</v>
      </c>
      <c r="C527" s="62" t="s">
        <v>580</v>
      </c>
      <c r="D527" s="62" t="s">
        <v>1169</v>
      </c>
      <c r="E527" s="60" t="s">
        <v>141</v>
      </c>
      <c r="F527" s="60" t="s">
        <v>87</v>
      </c>
      <c r="G527" s="60" t="s">
        <v>150</v>
      </c>
      <c r="H527" s="60" t="s">
        <v>707</v>
      </c>
      <c r="I527" s="60" t="s">
        <v>101</v>
      </c>
      <c r="J527" s="60" t="s">
        <v>2</v>
      </c>
      <c r="K527" s="60" t="s">
        <v>2</v>
      </c>
      <c r="L527" s="60" t="s">
        <v>87</v>
      </c>
      <c r="M527" s="60">
        <v>14</v>
      </c>
      <c r="N527" s="60" t="s">
        <v>87</v>
      </c>
      <c r="O527" s="60">
        <v>11</v>
      </c>
      <c r="P527" s="60" t="s">
        <v>778</v>
      </c>
      <c r="Q527" s="60" t="s">
        <v>19</v>
      </c>
      <c r="R527" s="60" t="s">
        <v>21</v>
      </c>
      <c r="S527" s="60" t="s">
        <v>37</v>
      </c>
      <c r="T527" s="60" t="s">
        <v>94</v>
      </c>
      <c r="U527" s="60" t="s">
        <v>108</v>
      </c>
      <c r="V527" s="60" t="s">
        <v>94</v>
      </c>
      <c r="W527" s="60" t="s">
        <v>93</v>
      </c>
      <c r="X527" s="63" t="s">
        <v>102</v>
      </c>
    </row>
    <row r="528" spans="1:24">
      <c r="A528" s="60">
        <v>923</v>
      </c>
      <c r="B528" s="61" t="s">
        <v>1809</v>
      </c>
      <c r="C528" s="62" t="s">
        <v>580</v>
      </c>
      <c r="D528" s="62" t="s">
        <v>1810</v>
      </c>
      <c r="E528" s="60" t="s">
        <v>86</v>
      </c>
      <c r="F528" s="60" t="s">
        <v>87</v>
      </c>
      <c r="G528" s="60" t="s">
        <v>117</v>
      </c>
      <c r="H528" s="60" t="s">
        <v>707</v>
      </c>
      <c r="I528" s="60" t="s">
        <v>90</v>
      </c>
      <c r="J528" s="60" t="s">
        <v>2</v>
      </c>
      <c r="K528" s="60" t="s">
        <v>2</v>
      </c>
      <c r="L528" s="60" t="s">
        <v>87</v>
      </c>
      <c r="M528" s="60">
        <v>13</v>
      </c>
      <c r="N528" s="60" t="s">
        <v>87</v>
      </c>
      <c r="O528" s="60">
        <v>6</v>
      </c>
      <c r="P528" s="60" t="s">
        <v>740</v>
      </c>
      <c r="Q528" s="60" t="s">
        <v>22</v>
      </c>
      <c r="R528" s="60" t="s">
        <v>21</v>
      </c>
      <c r="S528" s="60" t="s">
        <v>38</v>
      </c>
      <c r="T528" s="60" t="s">
        <v>94</v>
      </c>
      <c r="U528" s="60" t="s">
        <v>108</v>
      </c>
      <c r="V528" s="60" t="s">
        <v>92</v>
      </c>
      <c r="W528" s="60" t="s">
        <v>90</v>
      </c>
      <c r="X528" s="63" t="s">
        <v>95</v>
      </c>
    </row>
    <row r="529" spans="1:24">
      <c r="A529" s="60">
        <v>654</v>
      </c>
      <c r="B529" s="61" t="s">
        <v>1062</v>
      </c>
      <c r="C529" s="62" t="s">
        <v>1063</v>
      </c>
      <c r="D529" s="62" t="s">
        <v>193</v>
      </c>
      <c r="E529" s="60" t="s">
        <v>106</v>
      </c>
      <c r="F529" s="60" t="s">
        <v>87</v>
      </c>
      <c r="G529" s="60" t="s">
        <v>164</v>
      </c>
      <c r="H529" s="60" t="s">
        <v>707</v>
      </c>
      <c r="I529" s="60" t="s">
        <v>101</v>
      </c>
      <c r="J529" s="60" t="s">
        <v>2</v>
      </c>
      <c r="K529" s="60" t="s">
        <v>2</v>
      </c>
      <c r="L529" s="60" t="s">
        <v>87</v>
      </c>
      <c r="M529" s="60">
        <v>71</v>
      </c>
      <c r="N529" s="60" t="s">
        <v>87</v>
      </c>
      <c r="O529" s="60">
        <v>18</v>
      </c>
      <c r="P529" s="60" t="s">
        <v>758</v>
      </c>
      <c r="Q529" s="60" t="s">
        <v>24</v>
      </c>
      <c r="R529" s="60" t="s">
        <v>21</v>
      </c>
      <c r="S529" s="60" t="s">
        <v>92</v>
      </c>
      <c r="T529" s="60" t="s">
        <v>94</v>
      </c>
      <c r="U529" s="60" t="s">
        <v>101</v>
      </c>
      <c r="V529" s="60" t="s">
        <v>92</v>
      </c>
      <c r="W529" s="60" t="s">
        <v>93</v>
      </c>
      <c r="X529" s="63" t="s">
        <v>102</v>
      </c>
    </row>
    <row r="530" spans="1:24">
      <c r="A530" s="60">
        <v>235</v>
      </c>
      <c r="B530" s="61" t="s">
        <v>1064</v>
      </c>
      <c r="C530" s="62" t="s">
        <v>1063</v>
      </c>
      <c r="D530" s="62" t="s">
        <v>802</v>
      </c>
      <c r="E530" s="60" t="s">
        <v>169</v>
      </c>
      <c r="F530" s="60" t="s">
        <v>87</v>
      </c>
      <c r="G530" s="60" t="s">
        <v>142</v>
      </c>
      <c r="H530" s="60" t="s">
        <v>707</v>
      </c>
      <c r="I530" s="60" t="s">
        <v>90</v>
      </c>
      <c r="J530" s="60" t="s">
        <v>3</v>
      </c>
      <c r="K530" s="60" t="s">
        <v>3</v>
      </c>
      <c r="L530" s="60" t="s">
        <v>87</v>
      </c>
      <c r="M530" s="60">
        <v>53</v>
      </c>
      <c r="N530" s="60" t="s">
        <v>87</v>
      </c>
      <c r="O530" s="60">
        <v>14</v>
      </c>
      <c r="P530" s="60" t="s">
        <v>794</v>
      </c>
      <c r="Q530" s="60" t="s">
        <v>22</v>
      </c>
      <c r="R530" s="60" t="s">
        <v>92</v>
      </c>
      <c r="S530" s="60" t="s">
        <v>23</v>
      </c>
      <c r="T530" s="60" t="s">
        <v>94</v>
      </c>
      <c r="U530" s="60" t="s">
        <v>108</v>
      </c>
      <c r="V530" s="60" t="s">
        <v>92</v>
      </c>
      <c r="W530" s="60" t="s">
        <v>93</v>
      </c>
      <c r="X530" s="63" t="s">
        <v>95</v>
      </c>
    </row>
    <row r="531" spans="1:24">
      <c r="A531" s="60">
        <v>1091</v>
      </c>
      <c r="B531" s="61" t="s">
        <v>1400</v>
      </c>
      <c r="C531" s="62" t="s">
        <v>1401</v>
      </c>
      <c r="D531" s="62" t="s">
        <v>753</v>
      </c>
      <c r="E531" s="60" t="s">
        <v>249</v>
      </c>
      <c r="F531" s="60" t="s">
        <v>170</v>
      </c>
      <c r="G531" s="60" t="s">
        <v>117</v>
      </c>
      <c r="H531" s="60" t="s">
        <v>100</v>
      </c>
      <c r="I531" s="60" t="s">
        <v>90</v>
      </c>
      <c r="J531" s="60" t="s">
        <v>2</v>
      </c>
      <c r="K531" s="60" t="s">
        <v>2</v>
      </c>
      <c r="L531" s="60">
        <v>200</v>
      </c>
      <c r="M531" s="60">
        <v>100</v>
      </c>
      <c r="N531" s="60">
        <v>1</v>
      </c>
      <c r="O531" s="60">
        <v>1</v>
      </c>
      <c r="P531" s="60" t="s">
        <v>255</v>
      </c>
      <c r="Q531" s="60" t="s">
        <v>92</v>
      </c>
      <c r="R531" s="60" t="s">
        <v>21</v>
      </c>
      <c r="S531" s="60" t="s">
        <v>92</v>
      </c>
      <c r="T531" s="60" t="s">
        <v>94</v>
      </c>
      <c r="U531" s="60" t="s">
        <v>93</v>
      </c>
      <c r="V531" s="60" t="s">
        <v>92</v>
      </c>
      <c r="W531" s="60" t="s">
        <v>93</v>
      </c>
      <c r="X531" s="63" t="s">
        <v>95</v>
      </c>
    </row>
    <row r="532" spans="1:24">
      <c r="A532" s="60">
        <v>988</v>
      </c>
      <c r="B532" s="61" t="s">
        <v>1065</v>
      </c>
      <c r="C532" s="62" t="s">
        <v>1066</v>
      </c>
      <c r="D532" s="62" t="s">
        <v>795</v>
      </c>
      <c r="E532" s="60" t="s">
        <v>169</v>
      </c>
      <c r="F532" s="60" t="s">
        <v>87</v>
      </c>
      <c r="G532" s="60" t="s">
        <v>99</v>
      </c>
      <c r="H532" s="60" t="s">
        <v>89</v>
      </c>
      <c r="I532" s="60" t="s">
        <v>90</v>
      </c>
      <c r="J532" s="60" t="s">
        <v>2</v>
      </c>
      <c r="K532" s="60" t="s">
        <v>2</v>
      </c>
      <c r="L532" s="60">
        <v>5</v>
      </c>
      <c r="M532" s="60">
        <v>18</v>
      </c>
      <c r="N532" s="60">
        <v>3</v>
      </c>
      <c r="O532" s="60" t="s">
        <v>166</v>
      </c>
      <c r="P532" s="60" t="s">
        <v>1378</v>
      </c>
      <c r="Q532" s="60" t="s">
        <v>24</v>
      </c>
      <c r="R532" s="60" t="s">
        <v>21</v>
      </c>
      <c r="S532" s="60" t="s">
        <v>3</v>
      </c>
      <c r="T532" s="60" t="s">
        <v>94</v>
      </c>
      <c r="U532" s="60" t="s">
        <v>93</v>
      </c>
      <c r="V532" s="60" t="s">
        <v>92</v>
      </c>
      <c r="W532" s="60" t="s">
        <v>90</v>
      </c>
      <c r="X532" s="63" t="s">
        <v>95</v>
      </c>
    </row>
    <row r="533" spans="1:24">
      <c r="A533" s="60">
        <v>1069</v>
      </c>
      <c r="B533" s="61" t="s">
        <v>1402</v>
      </c>
      <c r="C533" s="62" t="s">
        <v>1403</v>
      </c>
      <c r="D533" s="62" t="s">
        <v>1104</v>
      </c>
      <c r="E533" s="60" t="s">
        <v>127</v>
      </c>
      <c r="F533" s="60" t="s">
        <v>170</v>
      </c>
      <c r="G533" s="60" t="s">
        <v>150</v>
      </c>
      <c r="H533" s="60" t="s">
        <v>707</v>
      </c>
      <c r="I533" s="60" t="s">
        <v>90</v>
      </c>
      <c r="J533" s="60" t="s">
        <v>2</v>
      </c>
      <c r="K533" s="60" t="s">
        <v>3</v>
      </c>
      <c r="L533" s="60" t="s">
        <v>87</v>
      </c>
      <c r="M533" s="60">
        <v>100</v>
      </c>
      <c r="N533" s="60" t="s">
        <v>87</v>
      </c>
      <c r="O533" s="60">
        <v>1</v>
      </c>
      <c r="P533" s="60" t="s">
        <v>729</v>
      </c>
      <c r="Q533" s="60" t="s">
        <v>22</v>
      </c>
      <c r="R533" s="60" t="s">
        <v>21</v>
      </c>
      <c r="S533" s="60" t="s">
        <v>92</v>
      </c>
      <c r="T533" s="60" t="s">
        <v>94</v>
      </c>
      <c r="U533" s="60" t="s">
        <v>108</v>
      </c>
      <c r="V533" s="60" t="s">
        <v>94</v>
      </c>
      <c r="W533" s="60" t="s">
        <v>90</v>
      </c>
      <c r="X533" s="63" t="s">
        <v>95</v>
      </c>
    </row>
    <row r="534" spans="1:24">
      <c r="A534" s="60">
        <v>1211</v>
      </c>
      <c r="B534" s="61" t="s">
        <v>1811</v>
      </c>
      <c r="C534" s="62" t="s">
        <v>1812</v>
      </c>
      <c r="D534" s="62" t="s">
        <v>153</v>
      </c>
      <c r="E534" s="60" t="s">
        <v>154</v>
      </c>
      <c r="F534" s="60" t="s">
        <v>170</v>
      </c>
      <c r="G534" s="60" t="s">
        <v>99</v>
      </c>
      <c r="H534" s="60" t="s">
        <v>707</v>
      </c>
      <c r="I534" s="60" t="s">
        <v>90</v>
      </c>
      <c r="J534" s="60" t="s">
        <v>2</v>
      </c>
      <c r="K534" s="60" t="s">
        <v>2</v>
      </c>
      <c r="L534" s="60" t="s">
        <v>87</v>
      </c>
      <c r="M534" s="60">
        <v>100</v>
      </c>
      <c r="N534" s="60" t="s">
        <v>87</v>
      </c>
      <c r="O534" s="60">
        <v>2</v>
      </c>
      <c r="P534" s="60" t="s">
        <v>807</v>
      </c>
      <c r="Q534" s="60" t="s">
        <v>19</v>
      </c>
      <c r="R534" s="60" t="s">
        <v>92</v>
      </c>
      <c r="S534" s="60" t="s">
        <v>38</v>
      </c>
      <c r="T534" s="60" t="s">
        <v>94</v>
      </c>
      <c r="U534" s="60" t="s">
        <v>108</v>
      </c>
      <c r="V534" s="60" t="s">
        <v>92</v>
      </c>
      <c r="W534" s="60" t="s">
        <v>93</v>
      </c>
      <c r="X534" s="63" t="s">
        <v>95</v>
      </c>
    </row>
    <row r="535" spans="1:24">
      <c r="A535" s="60">
        <v>469</v>
      </c>
      <c r="B535" s="61" t="s">
        <v>1404</v>
      </c>
      <c r="C535" s="62" t="s">
        <v>1405</v>
      </c>
      <c r="D535" s="62" t="s">
        <v>287</v>
      </c>
      <c r="E535" s="60" t="s">
        <v>197</v>
      </c>
      <c r="F535" s="60" t="s">
        <v>87</v>
      </c>
      <c r="G535" s="60" t="s">
        <v>107</v>
      </c>
      <c r="H535" s="60" t="s">
        <v>100</v>
      </c>
      <c r="I535" s="60" t="s">
        <v>101</v>
      </c>
      <c r="J535" s="60" t="s">
        <v>3</v>
      </c>
      <c r="K535" s="60" t="s">
        <v>3</v>
      </c>
      <c r="L535" s="60">
        <v>128</v>
      </c>
      <c r="M535" s="60" t="s">
        <v>87</v>
      </c>
      <c r="N535" s="60">
        <v>8</v>
      </c>
      <c r="O535" s="60" t="s">
        <v>87</v>
      </c>
      <c r="P535" s="60">
        <v>8</v>
      </c>
      <c r="Q535" s="60" t="s">
        <v>22</v>
      </c>
      <c r="R535" s="60" t="s">
        <v>92</v>
      </c>
      <c r="S535" s="60" t="s">
        <v>37</v>
      </c>
      <c r="T535" s="60" t="s">
        <v>94</v>
      </c>
      <c r="U535" s="60" t="s">
        <v>90</v>
      </c>
      <c r="V535" s="60" t="s">
        <v>92</v>
      </c>
      <c r="W535" s="60" t="s">
        <v>93</v>
      </c>
      <c r="X535" s="63" t="s">
        <v>102</v>
      </c>
    </row>
    <row r="536" spans="1:24">
      <c r="A536" s="60">
        <v>831</v>
      </c>
      <c r="B536" s="61" t="s">
        <v>1813</v>
      </c>
      <c r="C536" s="62" t="s">
        <v>1814</v>
      </c>
      <c r="D536" s="62" t="s">
        <v>1815</v>
      </c>
      <c r="E536" s="60" t="s">
        <v>209</v>
      </c>
      <c r="F536" s="60" t="s">
        <v>87</v>
      </c>
      <c r="G536" s="60" t="s">
        <v>112</v>
      </c>
      <c r="H536" s="60" t="s">
        <v>100</v>
      </c>
      <c r="I536" s="60" t="s">
        <v>90</v>
      </c>
      <c r="J536" s="60" t="s">
        <v>2</v>
      </c>
      <c r="K536" s="60" t="s">
        <v>2</v>
      </c>
      <c r="L536" s="60">
        <v>32</v>
      </c>
      <c r="M536" s="60" t="s">
        <v>87</v>
      </c>
      <c r="N536" s="60">
        <v>4</v>
      </c>
      <c r="O536" s="60" t="s">
        <v>87</v>
      </c>
      <c r="P536" s="60">
        <v>4</v>
      </c>
      <c r="Q536" s="60" t="s">
        <v>22</v>
      </c>
      <c r="R536" s="60" t="s">
        <v>92</v>
      </c>
      <c r="S536" s="60" t="s">
        <v>37</v>
      </c>
      <c r="T536" s="60" t="s">
        <v>94</v>
      </c>
      <c r="U536" s="60" t="s">
        <v>93</v>
      </c>
      <c r="V536" s="60" t="s">
        <v>92</v>
      </c>
      <c r="W536" s="60" t="s">
        <v>93</v>
      </c>
      <c r="X536" s="63" t="s">
        <v>95</v>
      </c>
    </row>
    <row r="537" spans="1:24">
      <c r="A537" s="60">
        <v>1316</v>
      </c>
      <c r="B537" s="61" t="s">
        <v>1816</v>
      </c>
      <c r="C537" s="62" t="s">
        <v>1817</v>
      </c>
      <c r="D537" s="62" t="s">
        <v>122</v>
      </c>
      <c r="E537" s="60" t="s">
        <v>209</v>
      </c>
      <c r="F537" s="60" t="s">
        <v>170</v>
      </c>
      <c r="G537" s="60" t="s">
        <v>99</v>
      </c>
      <c r="H537" s="60" t="s">
        <v>707</v>
      </c>
      <c r="I537" s="60" t="s">
        <v>90</v>
      </c>
      <c r="J537" s="60" t="s">
        <v>3</v>
      </c>
      <c r="K537" s="60" t="s">
        <v>3</v>
      </c>
      <c r="L537" s="60" t="s">
        <v>87</v>
      </c>
      <c r="M537" s="60">
        <v>100</v>
      </c>
      <c r="N537" s="60" t="s">
        <v>87</v>
      </c>
      <c r="O537" s="60">
        <v>1</v>
      </c>
      <c r="P537" s="60" t="s">
        <v>729</v>
      </c>
      <c r="Q537" s="60" t="s">
        <v>19</v>
      </c>
      <c r="R537" s="60" t="s">
        <v>21</v>
      </c>
      <c r="S537" s="60" t="s">
        <v>38</v>
      </c>
      <c r="T537" s="60" t="s">
        <v>92</v>
      </c>
      <c r="U537" s="60" t="s">
        <v>101</v>
      </c>
      <c r="V537" s="60" t="s">
        <v>92</v>
      </c>
      <c r="W537" s="60" t="s">
        <v>93</v>
      </c>
      <c r="X537" s="63" t="s">
        <v>95</v>
      </c>
    </row>
    <row r="538" spans="1:24">
      <c r="A538" s="60">
        <v>1116</v>
      </c>
      <c r="B538" s="61" t="s">
        <v>582</v>
      </c>
      <c r="C538" s="62" t="s">
        <v>583</v>
      </c>
      <c r="D538" s="62" t="s">
        <v>584</v>
      </c>
      <c r="E538" s="60" t="s">
        <v>186</v>
      </c>
      <c r="F538" s="60" t="s">
        <v>170</v>
      </c>
      <c r="G538" s="60" t="s">
        <v>88</v>
      </c>
      <c r="H538" s="60" t="s">
        <v>100</v>
      </c>
      <c r="I538" s="60" t="s">
        <v>90</v>
      </c>
      <c r="J538" s="60" t="s">
        <v>2</v>
      </c>
      <c r="K538" s="60" t="s">
        <v>2</v>
      </c>
      <c r="L538" s="60">
        <v>200</v>
      </c>
      <c r="M538" s="60">
        <v>100</v>
      </c>
      <c r="N538" s="60">
        <v>2</v>
      </c>
      <c r="O538" s="60">
        <v>1</v>
      </c>
      <c r="P538" s="60" t="s">
        <v>172</v>
      </c>
      <c r="Q538" s="60" t="s">
        <v>92</v>
      </c>
      <c r="R538" s="60" t="s">
        <v>21</v>
      </c>
      <c r="S538" s="60" t="s">
        <v>3</v>
      </c>
      <c r="T538" s="60" t="s">
        <v>94</v>
      </c>
      <c r="U538" s="60" t="s">
        <v>108</v>
      </c>
      <c r="V538" s="60" t="s">
        <v>92</v>
      </c>
      <c r="W538" s="60" t="s">
        <v>90</v>
      </c>
      <c r="X538" s="63" t="s">
        <v>95</v>
      </c>
    </row>
    <row r="539" spans="1:24">
      <c r="A539" s="60">
        <v>716</v>
      </c>
      <c r="B539" s="61" t="s">
        <v>1067</v>
      </c>
      <c r="C539" s="62" t="s">
        <v>1068</v>
      </c>
      <c r="D539" s="62" t="s">
        <v>1069</v>
      </c>
      <c r="E539" s="60" t="s">
        <v>127</v>
      </c>
      <c r="F539" s="60" t="s">
        <v>87</v>
      </c>
      <c r="G539" s="60" t="s">
        <v>150</v>
      </c>
      <c r="H539" s="60" t="s">
        <v>707</v>
      </c>
      <c r="I539" s="60" t="s">
        <v>101</v>
      </c>
      <c r="J539" s="60" t="s">
        <v>3</v>
      </c>
      <c r="K539" s="60" t="s">
        <v>2</v>
      </c>
      <c r="L539" s="60" t="s">
        <v>87</v>
      </c>
      <c r="M539" s="60">
        <v>56</v>
      </c>
      <c r="N539" s="60" t="s">
        <v>87</v>
      </c>
      <c r="O539" s="60">
        <v>10</v>
      </c>
      <c r="P539" s="60" t="s">
        <v>712</v>
      </c>
      <c r="Q539" s="60" t="s">
        <v>22</v>
      </c>
      <c r="R539" s="60" t="s">
        <v>20</v>
      </c>
      <c r="S539" s="60" t="s">
        <v>37</v>
      </c>
      <c r="T539" s="60" t="s">
        <v>94</v>
      </c>
      <c r="U539" s="60" t="s">
        <v>108</v>
      </c>
      <c r="V539" s="60" t="s">
        <v>94</v>
      </c>
      <c r="W539" s="60" t="s">
        <v>90</v>
      </c>
      <c r="X539" s="63" t="s">
        <v>102</v>
      </c>
    </row>
    <row r="540" spans="1:24">
      <c r="A540" s="60">
        <v>1227</v>
      </c>
      <c r="B540" s="61" t="s">
        <v>1818</v>
      </c>
      <c r="C540" s="62" t="s">
        <v>1068</v>
      </c>
      <c r="D540" s="62" t="s">
        <v>122</v>
      </c>
      <c r="E540" s="60" t="s">
        <v>106</v>
      </c>
      <c r="F540" s="60" t="s">
        <v>87</v>
      </c>
      <c r="G540" s="60" t="s">
        <v>117</v>
      </c>
      <c r="H540" s="60" t="s">
        <v>707</v>
      </c>
      <c r="I540" s="60" t="s">
        <v>90</v>
      </c>
      <c r="J540" s="60" t="s">
        <v>3</v>
      </c>
      <c r="K540" s="60" t="s">
        <v>3</v>
      </c>
      <c r="L540" s="60" t="s">
        <v>87</v>
      </c>
      <c r="M540" s="60">
        <v>4</v>
      </c>
      <c r="N540" s="60" t="s">
        <v>87</v>
      </c>
      <c r="O540" s="60">
        <v>3</v>
      </c>
      <c r="P540" s="60" t="s">
        <v>727</v>
      </c>
      <c r="Q540" s="60" t="s">
        <v>92</v>
      </c>
      <c r="R540" s="60" t="s">
        <v>20</v>
      </c>
      <c r="S540" s="60" t="s">
        <v>92</v>
      </c>
      <c r="T540" s="60" t="s">
        <v>92</v>
      </c>
      <c r="U540" s="60" t="s">
        <v>101</v>
      </c>
      <c r="V540" s="60" t="s">
        <v>92</v>
      </c>
      <c r="W540" s="60" t="s">
        <v>93</v>
      </c>
      <c r="X540" s="63" t="s">
        <v>95</v>
      </c>
    </row>
    <row r="541" spans="1:24">
      <c r="A541" s="60">
        <v>1003</v>
      </c>
      <c r="B541" s="61" t="s">
        <v>1819</v>
      </c>
      <c r="C541" s="62" t="s">
        <v>1820</v>
      </c>
      <c r="D541" s="62" t="s">
        <v>1821</v>
      </c>
      <c r="E541" s="60" t="s">
        <v>169</v>
      </c>
      <c r="F541" s="60" t="s">
        <v>170</v>
      </c>
      <c r="G541" s="60" t="s">
        <v>88</v>
      </c>
      <c r="H541" s="60" t="s">
        <v>707</v>
      </c>
      <c r="I541" s="60" t="s">
        <v>90</v>
      </c>
      <c r="J541" s="60" t="s">
        <v>3</v>
      </c>
      <c r="K541" s="60" t="s">
        <v>3</v>
      </c>
      <c r="L541" s="60" t="s">
        <v>87</v>
      </c>
      <c r="M541" s="60">
        <v>100</v>
      </c>
      <c r="N541" s="60" t="s">
        <v>87</v>
      </c>
      <c r="O541" s="60">
        <v>1</v>
      </c>
      <c r="P541" s="60" t="s">
        <v>729</v>
      </c>
      <c r="Q541" s="60" t="s">
        <v>92</v>
      </c>
      <c r="R541" s="60" t="s">
        <v>92</v>
      </c>
      <c r="S541" s="60" t="s">
        <v>92</v>
      </c>
      <c r="T541" s="60" t="s">
        <v>92</v>
      </c>
      <c r="U541" s="60" t="s">
        <v>108</v>
      </c>
      <c r="V541" s="60" t="s">
        <v>92</v>
      </c>
      <c r="W541" s="60" t="s">
        <v>93</v>
      </c>
      <c r="X541" s="63" t="s">
        <v>95</v>
      </c>
    </row>
    <row r="542" spans="1:24">
      <c r="A542" s="60">
        <v>1129</v>
      </c>
      <c r="B542" s="61" t="s">
        <v>1822</v>
      </c>
      <c r="C542" s="62" t="s">
        <v>1823</v>
      </c>
      <c r="D542" s="62" t="s">
        <v>201</v>
      </c>
      <c r="E542" s="60" t="s">
        <v>197</v>
      </c>
      <c r="F542" s="60" t="s">
        <v>87</v>
      </c>
      <c r="G542" s="60" t="s">
        <v>88</v>
      </c>
      <c r="H542" s="60" t="s">
        <v>707</v>
      </c>
      <c r="I542" s="60" t="s">
        <v>90</v>
      </c>
      <c r="J542" s="60" t="s">
        <v>3</v>
      </c>
      <c r="K542" s="60" t="s">
        <v>3</v>
      </c>
      <c r="L542" s="60" t="s">
        <v>87</v>
      </c>
      <c r="M542" s="60">
        <v>14</v>
      </c>
      <c r="N542" s="60" t="s">
        <v>87</v>
      </c>
      <c r="O542" s="60">
        <v>4</v>
      </c>
      <c r="P542" s="60" t="s">
        <v>754</v>
      </c>
      <c r="Q542" s="60" t="s">
        <v>24</v>
      </c>
      <c r="R542" s="60" t="s">
        <v>92</v>
      </c>
      <c r="S542" s="60" t="s">
        <v>38</v>
      </c>
      <c r="T542" s="60" t="s">
        <v>94</v>
      </c>
      <c r="U542" s="60" t="s">
        <v>93</v>
      </c>
      <c r="V542" s="60" t="s">
        <v>92</v>
      </c>
      <c r="W542" s="60" t="s">
        <v>93</v>
      </c>
      <c r="X542" s="63" t="s">
        <v>95</v>
      </c>
    </row>
    <row r="543" spans="1:24">
      <c r="A543" s="60">
        <v>1162</v>
      </c>
      <c r="B543" s="61" t="s">
        <v>1824</v>
      </c>
      <c r="C543" s="62" t="s">
        <v>1825</v>
      </c>
      <c r="D543" s="62" t="s">
        <v>439</v>
      </c>
      <c r="E543" s="60" t="s">
        <v>141</v>
      </c>
      <c r="F543" s="60" t="s">
        <v>87</v>
      </c>
      <c r="G543" s="60" t="s">
        <v>142</v>
      </c>
      <c r="H543" s="60" t="s">
        <v>89</v>
      </c>
      <c r="I543" s="60" t="s">
        <v>101</v>
      </c>
      <c r="J543" s="60" t="s">
        <v>3</v>
      </c>
      <c r="K543" s="60" t="s">
        <v>3</v>
      </c>
      <c r="L543" s="60">
        <v>18</v>
      </c>
      <c r="M543" s="60">
        <v>25</v>
      </c>
      <c r="N543" s="60">
        <v>4</v>
      </c>
      <c r="O543" s="60" t="s">
        <v>166</v>
      </c>
      <c r="P543" s="60" t="s">
        <v>167</v>
      </c>
      <c r="Q543" s="60" t="s">
        <v>92</v>
      </c>
      <c r="R543" s="60" t="s">
        <v>20</v>
      </c>
      <c r="S543" s="60" t="s">
        <v>37</v>
      </c>
      <c r="T543" s="60" t="s">
        <v>94</v>
      </c>
      <c r="U543" s="60" t="s">
        <v>108</v>
      </c>
      <c r="V543" s="60" t="s">
        <v>92</v>
      </c>
      <c r="W543" s="60" t="s">
        <v>93</v>
      </c>
      <c r="X543" s="63" t="s">
        <v>102</v>
      </c>
    </row>
    <row r="544" spans="1:24">
      <c r="A544" s="60">
        <v>226</v>
      </c>
      <c r="B544" s="61" t="s">
        <v>586</v>
      </c>
      <c r="C544" s="62" t="s">
        <v>587</v>
      </c>
      <c r="D544" s="62" t="s">
        <v>588</v>
      </c>
      <c r="E544" s="60" t="s">
        <v>169</v>
      </c>
      <c r="F544" s="60" t="s">
        <v>87</v>
      </c>
      <c r="G544" s="60" t="s">
        <v>99</v>
      </c>
      <c r="H544" s="60" t="s">
        <v>100</v>
      </c>
      <c r="I544" s="60" t="s">
        <v>90</v>
      </c>
      <c r="J544" s="60" t="s">
        <v>2</v>
      </c>
      <c r="K544" s="60" t="s">
        <v>2</v>
      </c>
      <c r="L544" s="60">
        <v>208</v>
      </c>
      <c r="M544" s="60" t="s">
        <v>87</v>
      </c>
      <c r="N544" s="60">
        <v>12</v>
      </c>
      <c r="O544" s="60" t="s">
        <v>87</v>
      </c>
      <c r="P544" s="60">
        <v>12</v>
      </c>
      <c r="Q544" s="60" t="s">
        <v>22</v>
      </c>
      <c r="R544" s="60" t="s">
        <v>92</v>
      </c>
      <c r="S544" s="60" t="s">
        <v>92</v>
      </c>
      <c r="T544" s="60" t="s">
        <v>94</v>
      </c>
      <c r="U544" s="60" t="s">
        <v>108</v>
      </c>
      <c r="V544" s="60" t="s">
        <v>92</v>
      </c>
      <c r="W544" s="60" t="s">
        <v>90</v>
      </c>
      <c r="X544" s="63" t="s">
        <v>95</v>
      </c>
    </row>
    <row r="545" spans="1:24">
      <c r="A545" s="60">
        <v>1072</v>
      </c>
      <c r="B545" s="61" t="s">
        <v>1406</v>
      </c>
      <c r="C545" s="62" t="s">
        <v>1407</v>
      </c>
      <c r="D545" s="62" t="s">
        <v>691</v>
      </c>
      <c r="E545" s="60" t="s">
        <v>123</v>
      </c>
      <c r="F545" s="60" t="s">
        <v>87</v>
      </c>
      <c r="G545" s="60" t="s">
        <v>117</v>
      </c>
      <c r="H545" s="60" t="s">
        <v>707</v>
      </c>
      <c r="I545" s="60" t="s">
        <v>90</v>
      </c>
      <c r="J545" s="60" t="s">
        <v>3</v>
      </c>
      <c r="K545" s="60" t="s">
        <v>3</v>
      </c>
      <c r="L545" s="60" t="s">
        <v>87</v>
      </c>
      <c r="M545" s="60">
        <v>15</v>
      </c>
      <c r="N545" s="60" t="s">
        <v>87</v>
      </c>
      <c r="O545" s="60">
        <v>4</v>
      </c>
      <c r="P545" s="60" t="s">
        <v>754</v>
      </c>
      <c r="Q545" s="60" t="s">
        <v>92</v>
      </c>
      <c r="R545" s="60" t="s">
        <v>21</v>
      </c>
      <c r="S545" s="60" t="s">
        <v>38</v>
      </c>
      <c r="T545" s="60" t="s">
        <v>94</v>
      </c>
      <c r="U545" s="60" t="s">
        <v>93</v>
      </c>
      <c r="V545" s="60" t="s">
        <v>94</v>
      </c>
      <c r="W545" s="60" t="s">
        <v>90</v>
      </c>
      <c r="X545" s="63" t="s">
        <v>95</v>
      </c>
    </row>
    <row r="546" spans="1:24">
      <c r="A546" s="60">
        <v>1225</v>
      </c>
      <c r="B546" s="61" t="s">
        <v>589</v>
      </c>
      <c r="C546" s="62" t="s">
        <v>590</v>
      </c>
      <c r="D546" s="62" t="s">
        <v>591</v>
      </c>
      <c r="E546" s="60" t="s">
        <v>106</v>
      </c>
      <c r="F546" s="60" t="s">
        <v>87</v>
      </c>
      <c r="G546" s="60" t="s">
        <v>150</v>
      </c>
      <c r="H546" s="60" t="s">
        <v>707</v>
      </c>
      <c r="I546" s="60" t="s">
        <v>90</v>
      </c>
      <c r="J546" s="60" t="s">
        <v>2</v>
      </c>
      <c r="K546" s="60" t="s">
        <v>2</v>
      </c>
      <c r="L546" s="60" t="s">
        <v>87</v>
      </c>
      <c r="M546" s="60">
        <v>20</v>
      </c>
      <c r="N546" s="60" t="s">
        <v>87</v>
      </c>
      <c r="O546" s="60">
        <v>4</v>
      </c>
      <c r="P546" s="60" t="s">
        <v>754</v>
      </c>
      <c r="Q546" s="60" t="s">
        <v>92</v>
      </c>
      <c r="R546" s="60" t="s">
        <v>21</v>
      </c>
      <c r="S546" s="60" t="s">
        <v>92</v>
      </c>
      <c r="T546" s="60" t="s">
        <v>94</v>
      </c>
      <c r="U546" s="60" t="s">
        <v>108</v>
      </c>
      <c r="V546" s="60" t="s">
        <v>92</v>
      </c>
      <c r="W546" s="60" t="s">
        <v>93</v>
      </c>
      <c r="X546" s="63" t="s">
        <v>95</v>
      </c>
    </row>
    <row r="547" spans="1:24">
      <c r="A547" s="60">
        <v>896</v>
      </c>
      <c r="B547" s="61" t="s">
        <v>1826</v>
      </c>
      <c r="C547" s="62" t="s">
        <v>1827</v>
      </c>
      <c r="D547" s="62" t="s">
        <v>1396</v>
      </c>
      <c r="E547" s="60" t="s">
        <v>266</v>
      </c>
      <c r="F547" s="60" t="s">
        <v>87</v>
      </c>
      <c r="G547" s="60" t="s">
        <v>107</v>
      </c>
      <c r="H547" s="60" t="s">
        <v>707</v>
      </c>
      <c r="I547" s="60" t="s">
        <v>101</v>
      </c>
      <c r="J547" s="60" t="s">
        <v>3</v>
      </c>
      <c r="K547" s="60" t="s">
        <v>3</v>
      </c>
      <c r="L547" s="60" t="s">
        <v>87</v>
      </c>
      <c r="M547" s="60">
        <v>49</v>
      </c>
      <c r="N547" s="60" t="s">
        <v>87</v>
      </c>
      <c r="O547" s="60">
        <v>12</v>
      </c>
      <c r="P547" s="60" t="s">
        <v>782</v>
      </c>
      <c r="Q547" s="60" t="s">
        <v>19</v>
      </c>
      <c r="R547" s="60" t="s">
        <v>20</v>
      </c>
      <c r="S547" s="60" t="s">
        <v>37</v>
      </c>
      <c r="T547" s="60" t="s">
        <v>92</v>
      </c>
      <c r="U547" s="60" t="s">
        <v>108</v>
      </c>
      <c r="V547" s="60" t="s">
        <v>92</v>
      </c>
      <c r="W547" s="60" t="s">
        <v>93</v>
      </c>
      <c r="X547" s="63" t="s">
        <v>102</v>
      </c>
    </row>
    <row r="548" spans="1:24">
      <c r="A548" s="60">
        <v>1161</v>
      </c>
      <c r="B548" s="61" t="s">
        <v>1408</v>
      </c>
      <c r="C548" s="62" t="s">
        <v>1409</v>
      </c>
      <c r="D548" s="62" t="s">
        <v>1410</v>
      </c>
      <c r="E548" s="60" t="s">
        <v>141</v>
      </c>
      <c r="F548" s="60" t="s">
        <v>170</v>
      </c>
      <c r="G548" s="60" t="s">
        <v>117</v>
      </c>
      <c r="H548" s="60" t="s">
        <v>100</v>
      </c>
      <c r="I548" s="60" t="s">
        <v>101</v>
      </c>
      <c r="J548" s="60" t="s">
        <v>2</v>
      </c>
      <c r="K548" s="60" t="s">
        <v>2</v>
      </c>
      <c r="L548" s="60">
        <v>200</v>
      </c>
      <c r="M548" s="60">
        <v>100</v>
      </c>
      <c r="N548" s="60">
        <v>1</v>
      </c>
      <c r="O548" s="60">
        <v>1</v>
      </c>
      <c r="P548" s="60" t="s">
        <v>255</v>
      </c>
      <c r="Q548" s="60" t="s">
        <v>92</v>
      </c>
      <c r="R548" s="60" t="s">
        <v>20</v>
      </c>
      <c r="S548" s="60" t="s">
        <v>92</v>
      </c>
      <c r="T548" s="60" t="s">
        <v>92</v>
      </c>
      <c r="U548" s="60" t="s">
        <v>101</v>
      </c>
      <c r="V548" s="60" t="s">
        <v>92</v>
      </c>
      <c r="W548" s="60" t="s">
        <v>93</v>
      </c>
      <c r="X548" s="63" t="s">
        <v>102</v>
      </c>
    </row>
    <row r="549" spans="1:24">
      <c r="A549" s="60">
        <v>899</v>
      </c>
      <c r="B549" s="61" t="s">
        <v>592</v>
      </c>
      <c r="C549" s="62" t="s">
        <v>593</v>
      </c>
      <c r="D549" s="62" t="s">
        <v>594</v>
      </c>
      <c r="E549" s="60" t="s">
        <v>266</v>
      </c>
      <c r="F549" s="60" t="s">
        <v>87</v>
      </c>
      <c r="G549" s="60" t="s">
        <v>164</v>
      </c>
      <c r="H549" s="60" t="s">
        <v>100</v>
      </c>
      <c r="I549" s="60" t="s">
        <v>101</v>
      </c>
      <c r="J549" s="60" t="s">
        <v>2</v>
      </c>
      <c r="K549" s="60" t="s">
        <v>2</v>
      </c>
      <c r="L549" s="60">
        <v>66</v>
      </c>
      <c r="M549" s="60">
        <v>46</v>
      </c>
      <c r="N549" s="60">
        <v>4</v>
      </c>
      <c r="O549" s="60" t="s">
        <v>118</v>
      </c>
      <c r="P549" s="60" t="s">
        <v>174</v>
      </c>
      <c r="Q549" s="60" t="s">
        <v>92</v>
      </c>
      <c r="R549" s="60" t="s">
        <v>20</v>
      </c>
      <c r="S549" s="60" t="s">
        <v>3</v>
      </c>
      <c r="T549" s="60" t="s">
        <v>94</v>
      </c>
      <c r="U549" s="60" t="s">
        <v>93</v>
      </c>
      <c r="V549" s="60" t="s">
        <v>92</v>
      </c>
      <c r="W549" s="60" t="s">
        <v>108</v>
      </c>
      <c r="X549" s="63" t="s">
        <v>102</v>
      </c>
    </row>
    <row r="550" spans="1:24">
      <c r="A550" s="60">
        <v>750</v>
      </c>
      <c r="B550" s="61" t="s">
        <v>1828</v>
      </c>
      <c r="C550" s="62" t="s">
        <v>1829</v>
      </c>
      <c r="D550" s="62" t="s">
        <v>1240</v>
      </c>
      <c r="E550" s="60" t="s">
        <v>127</v>
      </c>
      <c r="F550" s="60" t="s">
        <v>170</v>
      </c>
      <c r="G550" s="60" t="s">
        <v>99</v>
      </c>
      <c r="H550" s="60" t="s">
        <v>707</v>
      </c>
      <c r="I550" s="60" t="s">
        <v>90</v>
      </c>
      <c r="J550" s="60" t="s">
        <v>3</v>
      </c>
      <c r="K550" s="60" t="s">
        <v>3</v>
      </c>
      <c r="L550" s="60" t="s">
        <v>87</v>
      </c>
      <c r="M550" s="60">
        <v>100</v>
      </c>
      <c r="N550" s="60" t="s">
        <v>87</v>
      </c>
      <c r="O550" s="60">
        <v>1</v>
      </c>
      <c r="P550" s="60" t="s">
        <v>729</v>
      </c>
      <c r="Q550" s="60" t="s">
        <v>92</v>
      </c>
      <c r="R550" s="60" t="s">
        <v>20</v>
      </c>
      <c r="S550" s="60" t="s">
        <v>23</v>
      </c>
      <c r="T550" s="60" t="s">
        <v>94</v>
      </c>
      <c r="U550" s="60" t="s">
        <v>93</v>
      </c>
      <c r="V550" s="60" t="s">
        <v>92</v>
      </c>
      <c r="W550" s="60" t="s">
        <v>93</v>
      </c>
      <c r="X550" s="63" t="s">
        <v>95</v>
      </c>
    </row>
    <row r="551" spans="1:24">
      <c r="A551" s="60">
        <v>84</v>
      </c>
      <c r="B551" s="61" t="s">
        <v>1071</v>
      </c>
      <c r="C551" s="62" t="s">
        <v>1072</v>
      </c>
      <c r="D551" s="62" t="s">
        <v>358</v>
      </c>
      <c r="E551" s="60" t="s">
        <v>133</v>
      </c>
      <c r="F551" s="60" t="s">
        <v>87</v>
      </c>
      <c r="G551" s="60" t="s">
        <v>88</v>
      </c>
      <c r="H551" s="60" t="s">
        <v>707</v>
      </c>
      <c r="I551" s="60" t="s">
        <v>101</v>
      </c>
      <c r="J551" s="60" t="s">
        <v>2</v>
      </c>
      <c r="K551" s="60" t="s">
        <v>2</v>
      </c>
      <c r="L551" s="60" t="s">
        <v>87</v>
      </c>
      <c r="M551" s="60">
        <v>64</v>
      </c>
      <c r="N551" s="60" t="s">
        <v>87</v>
      </c>
      <c r="O551" s="60">
        <v>12</v>
      </c>
      <c r="P551" s="60" t="s">
        <v>782</v>
      </c>
      <c r="Q551" s="60" t="s">
        <v>24</v>
      </c>
      <c r="R551" s="60" t="s">
        <v>20</v>
      </c>
      <c r="S551" s="60" t="s">
        <v>92</v>
      </c>
      <c r="T551" s="60" t="s">
        <v>94</v>
      </c>
      <c r="U551" s="60" t="s">
        <v>108</v>
      </c>
      <c r="V551" s="60" t="s">
        <v>92</v>
      </c>
      <c r="W551" s="60" t="s">
        <v>93</v>
      </c>
      <c r="X551" s="63" t="s">
        <v>102</v>
      </c>
    </row>
    <row r="552" spans="1:24">
      <c r="A552" s="60">
        <v>715</v>
      </c>
      <c r="B552" s="61" t="s">
        <v>1830</v>
      </c>
      <c r="C552" s="62" t="s">
        <v>1831</v>
      </c>
      <c r="D552" s="62" t="s">
        <v>1832</v>
      </c>
      <c r="E552" s="60" t="s">
        <v>328</v>
      </c>
      <c r="F552" s="60" t="s">
        <v>87</v>
      </c>
      <c r="G552" s="60" t="s">
        <v>112</v>
      </c>
      <c r="H552" s="60" t="s">
        <v>707</v>
      </c>
      <c r="I552" s="60" t="s">
        <v>90</v>
      </c>
      <c r="J552" s="60" t="s">
        <v>2</v>
      </c>
      <c r="K552" s="60" t="s">
        <v>2</v>
      </c>
      <c r="L552" s="60" t="s">
        <v>87</v>
      </c>
      <c r="M552" s="60">
        <v>54</v>
      </c>
      <c r="N552" s="60" t="s">
        <v>87</v>
      </c>
      <c r="O552" s="60">
        <v>9</v>
      </c>
      <c r="P552" s="60" t="s">
        <v>744</v>
      </c>
      <c r="Q552" s="60" t="s">
        <v>24</v>
      </c>
      <c r="R552" s="60" t="s">
        <v>92</v>
      </c>
      <c r="S552" s="60" t="s">
        <v>3</v>
      </c>
      <c r="T552" s="60" t="s">
        <v>92</v>
      </c>
      <c r="U552" s="60" t="s">
        <v>108</v>
      </c>
      <c r="V552" s="60" t="s">
        <v>92</v>
      </c>
      <c r="W552" s="60" t="s">
        <v>90</v>
      </c>
      <c r="X552" s="63" t="s">
        <v>95</v>
      </c>
    </row>
    <row r="553" spans="1:24">
      <c r="A553" s="60">
        <v>534</v>
      </c>
      <c r="B553" s="61" t="s">
        <v>1073</v>
      </c>
      <c r="C553" s="62" t="s">
        <v>1074</v>
      </c>
      <c r="D553" s="62" t="s">
        <v>711</v>
      </c>
      <c r="E553" s="60" t="s">
        <v>127</v>
      </c>
      <c r="F553" s="60" t="s">
        <v>87</v>
      </c>
      <c r="G553" s="60" t="s">
        <v>270</v>
      </c>
      <c r="H553" s="60" t="s">
        <v>707</v>
      </c>
      <c r="I553" s="60" t="s">
        <v>101</v>
      </c>
      <c r="J553" s="60" t="s">
        <v>2</v>
      </c>
      <c r="K553" s="60" t="s">
        <v>2</v>
      </c>
      <c r="L553" s="60" t="s">
        <v>87</v>
      </c>
      <c r="M553" s="60">
        <v>63</v>
      </c>
      <c r="N553" s="60" t="s">
        <v>87</v>
      </c>
      <c r="O553" s="60">
        <v>7</v>
      </c>
      <c r="P553" s="60" t="s">
        <v>722</v>
      </c>
      <c r="Q553" s="60" t="s">
        <v>22</v>
      </c>
      <c r="R553" s="60" t="s">
        <v>21</v>
      </c>
      <c r="S553" s="60" t="s">
        <v>3</v>
      </c>
      <c r="T553" s="60" t="s">
        <v>94</v>
      </c>
      <c r="U553" s="60" t="s">
        <v>108</v>
      </c>
      <c r="V553" s="60" t="s">
        <v>92</v>
      </c>
      <c r="W553" s="60" t="s">
        <v>90</v>
      </c>
      <c r="X553" s="63" t="s">
        <v>102</v>
      </c>
    </row>
    <row r="554" spans="1:24">
      <c r="A554" s="60">
        <v>80</v>
      </c>
      <c r="B554" s="61" t="s">
        <v>1833</v>
      </c>
      <c r="C554" s="62" t="s">
        <v>1834</v>
      </c>
      <c r="D554" s="62" t="s">
        <v>206</v>
      </c>
      <c r="E554" s="60" t="s">
        <v>133</v>
      </c>
      <c r="F554" s="60" t="s">
        <v>87</v>
      </c>
      <c r="G554" s="60" t="s">
        <v>147</v>
      </c>
      <c r="H554" s="60" t="s">
        <v>100</v>
      </c>
      <c r="I554" s="60" t="s">
        <v>90</v>
      </c>
      <c r="J554" s="60" t="s">
        <v>3</v>
      </c>
      <c r="K554" s="60" t="s">
        <v>3</v>
      </c>
      <c r="L554" s="60">
        <v>133</v>
      </c>
      <c r="M554" s="60">
        <v>7</v>
      </c>
      <c r="N554" s="60">
        <v>12</v>
      </c>
      <c r="O554" s="60" t="s">
        <v>603</v>
      </c>
      <c r="P554" s="60" t="s">
        <v>210</v>
      </c>
      <c r="Q554" s="60" t="s">
        <v>19</v>
      </c>
      <c r="R554" s="60" t="s">
        <v>21</v>
      </c>
      <c r="S554" s="60" t="s">
        <v>37</v>
      </c>
      <c r="T554" s="60" t="s">
        <v>94</v>
      </c>
      <c r="U554" s="60" t="s">
        <v>108</v>
      </c>
      <c r="V554" s="60" t="s">
        <v>92</v>
      </c>
      <c r="W554" s="60" t="s">
        <v>93</v>
      </c>
      <c r="X554" s="63" t="s">
        <v>95</v>
      </c>
    </row>
    <row r="555" spans="1:24">
      <c r="A555" s="60">
        <v>49</v>
      </c>
      <c r="B555" s="61" t="s">
        <v>1835</v>
      </c>
      <c r="C555" s="62" t="s">
        <v>595</v>
      </c>
      <c r="D555" s="62" t="s">
        <v>1836</v>
      </c>
      <c r="E555" s="60" t="s">
        <v>86</v>
      </c>
      <c r="F555" s="60" t="s">
        <v>87</v>
      </c>
      <c r="G555" s="60" t="s">
        <v>147</v>
      </c>
      <c r="H555" s="60" t="s">
        <v>100</v>
      </c>
      <c r="I555" s="60" t="s">
        <v>90</v>
      </c>
      <c r="J555" s="60" t="s">
        <v>3</v>
      </c>
      <c r="K555" s="60" t="s">
        <v>3</v>
      </c>
      <c r="L555" s="60">
        <v>122</v>
      </c>
      <c r="M555" s="60" t="s">
        <v>87</v>
      </c>
      <c r="N555" s="60">
        <v>9</v>
      </c>
      <c r="O555" s="60" t="s">
        <v>87</v>
      </c>
      <c r="P555" s="60">
        <v>9</v>
      </c>
      <c r="Q555" s="60" t="s">
        <v>22</v>
      </c>
      <c r="R555" s="60" t="s">
        <v>92</v>
      </c>
      <c r="S555" s="60" t="s">
        <v>92</v>
      </c>
      <c r="T555" s="60" t="s">
        <v>92</v>
      </c>
      <c r="U555" s="60" t="s">
        <v>101</v>
      </c>
      <c r="V555" s="60" t="s">
        <v>92</v>
      </c>
      <c r="W555" s="60" t="s">
        <v>101</v>
      </c>
      <c r="X555" s="63" t="s">
        <v>95</v>
      </c>
    </row>
    <row r="556" spans="1:24">
      <c r="A556" s="60">
        <v>324</v>
      </c>
      <c r="B556" s="61" t="s">
        <v>1411</v>
      </c>
      <c r="C556" s="62" t="s">
        <v>595</v>
      </c>
      <c r="D556" s="62" t="s">
        <v>711</v>
      </c>
      <c r="E556" s="60" t="s">
        <v>50</v>
      </c>
      <c r="F556" s="60" t="s">
        <v>87</v>
      </c>
      <c r="G556" s="60" t="s">
        <v>142</v>
      </c>
      <c r="H556" s="60" t="s">
        <v>707</v>
      </c>
      <c r="I556" s="60" t="s">
        <v>90</v>
      </c>
      <c r="J556" s="60" t="s">
        <v>2</v>
      </c>
      <c r="K556" s="60" t="s">
        <v>2</v>
      </c>
      <c r="L556" s="60" t="s">
        <v>87</v>
      </c>
      <c r="M556" s="60">
        <v>59</v>
      </c>
      <c r="N556" s="60" t="s">
        <v>87</v>
      </c>
      <c r="O556" s="60">
        <v>12</v>
      </c>
      <c r="P556" s="60" t="s">
        <v>782</v>
      </c>
      <c r="Q556" s="60" t="s">
        <v>24</v>
      </c>
      <c r="R556" s="60" t="s">
        <v>21</v>
      </c>
      <c r="S556" s="60" t="s">
        <v>37</v>
      </c>
      <c r="T556" s="60" t="s">
        <v>94</v>
      </c>
      <c r="U556" s="60" t="s">
        <v>108</v>
      </c>
      <c r="V556" s="60" t="s">
        <v>92</v>
      </c>
      <c r="W556" s="60" t="s">
        <v>101</v>
      </c>
      <c r="X556" s="63" t="s">
        <v>95</v>
      </c>
    </row>
    <row r="557" spans="1:24">
      <c r="A557" s="60">
        <v>685</v>
      </c>
      <c r="B557" s="61" t="s">
        <v>1075</v>
      </c>
      <c r="C557" s="62" t="s">
        <v>595</v>
      </c>
      <c r="D557" s="62" t="s">
        <v>463</v>
      </c>
      <c r="E557" s="60" t="s">
        <v>42</v>
      </c>
      <c r="F557" s="60" t="s">
        <v>87</v>
      </c>
      <c r="G557" s="60" t="s">
        <v>155</v>
      </c>
      <c r="H557" s="60" t="s">
        <v>707</v>
      </c>
      <c r="I557" s="60" t="s">
        <v>101</v>
      </c>
      <c r="J557" s="60" t="s">
        <v>2</v>
      </c>
      <c r="K557" s="60" t="s">
        <v>2</v>
      </c>
      <c r="L557" s="60" t="s">
        <v>87</v>
      </c>
      <c r="M557" s="60">
        <v>57</v>
      </c>
      <c r="N557" s="60" t="s">
        <v>87</v>
      </c>
      <c r="O557" s="60">
        <v>16</v>
      </c>
      <c r="P557" s="60" t="s">
        <v>726</v>
      </c>
      <c r="Q557" s="60" t="s">
        <v>24</v>
      </c>
      <c r="R557" s="60" t="s">
        <v>20</v>
      </c>
      <c r="S557" s="60" t="s">
        <v>92</v>
      </c>
      <c r="T557" s="60" t="s">
        <v>94</v>
      </c>
      <c r="U557" s="60" t="s">
        <v>108</v>
      </c>
      <c r="V557" s="60" t="s">
        <v>94</v>
      </c>
      <c r="W557" s="60" t="s">
        <v>101</v>
      </c>
      <c r="X557" s="63" t="s">
        <v>102</v>
      </c>
    </row>
    <row r="558" spans="1:24">
      <c r="A558" s="60">
        <v>1198</v>
      </c>
      <c r="B558" s="61" t="s">
        <v>1077</v>
      </c>
      <c r="C558" s="62" t="s">
        <v>595</v>
      </c>
      <c r="D558" s="62" t="s">
        <v>1078</v>
      </c>
      <c r="E558" s="60" t="s">
        <v>154</v>
      </c>
      <c r="F558" s="60" t="s">
        <v>87</v>
      </c>
      <c r="G558" s="60" t="s">
        <v>112</v>
      </c>
      <c r="H558" s="60" t="s">
        <v>707</v>
      </c>
      <c r="I558" s="60" t="s">
        <v>101</v>
      </c>
      <c r="J558" s="60" t="s">
        <v>3</v>
      </c>
      <c r="K558" s="60" t="s">
        <v>3</v>
      </c>
      <c r="L558" s="60" t="s">
        <v>87</v>
      </c>
      <c r="M558" s="60">
        <v>11</v>
      </c>
      <c r="N558" s="60" t="s">
        <v>87</v>
      </c>
      <c r="O558" s="60">
        <v>9</v>
      </c>
      <c r="P558" s="60" t="s">
        <v>744</v>
      </c>
      <c r="Q558" s="60" t="s">
        <v>22</v>
      </c>
      <c r="R558" s="60" t="s">
        <v>92</v>
      </c>
      <c r="S558" s="60" t="s">
        <v>23</v>
      </c>
      <c r="T558" s="60" t="s">
        <v>94</v>
      </c>
      <c r="U558" s="60" t="s">
        <v>93</v>
      </c>
      <c r="V558" s="60" t="s">
        <v>94</v>
      </c>
      <c r="W558" s="60" t="s">
        <v>90</v>
      </c>
      <c r="X558" s="63" t="s">
        <v>102</v>
      </c>
    </row>
    <row r="559" spans="1:24">
      <c r="A559" s="60">
        <v>410</v>
      </c>
      <c r="B559" s="61" t="s">
        <v>60</v>
      </c>
      <c r="C559" s="62" t="s">
        <v>595</v>
      </c>
      <c r="D559" s="62" t="s">
        <v>596</v>
      </c>
      <c r="E559" s="60" t="s">
        <v>249</v>
      </c>
      <c r="F559" s="60" t="s">
        <v>87</v>
      </c>
      <c r="G559" s="60" t="s">
        <v>129</v>
      </c>
      <c r="H559" s="60" t="s">
        <v>100</v>
      </c>
      <c r="I559" s="60" t="s">
        <v>90</v>
      </c>
      <c r="J559" s="60" t="s">
        <v>71</v>
      </c>
      <c r="K559" s="60" t="s">
        <v>3</v>
      </c>
      <c r="L559" s="60">
        <v>84</v>
      </c>
      <c r="M559" s="60">
        <v>3</v>
      </c>
      <c r="N559" s="60">
        <v>6</v>
      </c>
      <c r="O559" s="60" t="s">
        <v>91</v>
      </c>
      <c r="P559" s="60" t="s">
        <v>159</v>
      </c>
      <c r="Q559" s="60" t="s">
        <v>22</v>
      </c>
      <c r="R559" s="60" t="s">
        <v>21</v>
      </c>
      <c r="S559" s="60" t="s">
        <v>92</v>
      </c>
      <c r="T559" s="60" t="s">
        <v>94</v>
      </c>
      <c r="U559" s="60" t="s">
        <v>108</v>
      </c>
      <c r="V559" s="60" t="s">
        <v>92</v>
      </c>
      <c r="W559" s="60" t="s">
        <v>93</v>
      </c>
      <c r="X559" s="63" t="s">
        <v>95</v>
      </c>
    </row>
    <row r="560" spans="1:24">
      <c r="A560" s="60">
        <v>27</v>
      </c>
      <c r="B560" s="61" t="s">
        <v>1079</v>
      </c>
      <c r="C560" s="62" t="s">
        <v>1080</v>
      </c>
      <c r="D560" s="62" t="s">
        <v>1081</v>
      </c>
      <c r="E560" s="60" t="s">
        <v>178</v>
      </c>
      <c r="F560" s="60" t="s">
        <v>87</v>
      </c>
      <c r="G560" s="60" t="s">
        <v>164</v>
      </c>
      <c r="H560" s="60" t="s">
        <v>707</v>
      </c>
      <c r="I560" s="60" t="s">
        <v>90</v>
      </c>
      <c r="J560" s="60" t="s">
        <v>2</v>
      </c>
      <c r="K560" s="60" t="s">
        <v>2</v>
      </c>
      <c r="L560" s="60" t="s">
        <v>87</v>
      </c>
      <c r="M560" s="60">
        <v>42</v>
      </c>
      <c r="N560" s="60" t="s">
        <v>87</v>
      </c>
      <c r="O560" s="60">
        <v>7</v>
      </c>
      <c r="P560" s="60" t="s">
        <v>722</v>
      </c>
      <c r="Q560" s="60" t="s">
        <v>22</v>
      </c>
      <c r="R560" s="60" t="s">
        <v>92</v>
      </c>
      <c r="S560" s="60" t="s">
        <v>92</v>
      </c>
      <c r="T560" s="60" t="s">
        <v>94</v>
      </c>
      <c r="U560" s="60" t="s">
        <v>93</v>
      </c>
      <c r="V560" s="60" t="s">
        <v>92</v>
      </c>
      <c r="W560" s="60" t="s">
        <v>108</v>
      </c>
      <c r="X560" s="63" t="s">
        <v>95</v>
      </c>
    </row>
    <row r="561" spans="1:24">
      <c r="A561" s="60">
        <v>1018</v>
      </c>
      <c r="B561" s="61" t="s">
        <v>597</v>
      </c>
      <c r="C561" s="62" t="s">
        <v>598</v>
      </c>
      <c r="D561" s="62" t="s">
        <v>599</v>
      </c>
      <c r="E561" s="60" t="s">
        <v>408</v>
      </c>
      <c r="F561" s="60" t="s">
        <v>87</v>
      </c>
      <c r="G561" s="60" t="s">
        <v>182</v>
      </c>
      <c r="H561" s="60" t="s">
        <v>707</v>
      </c>
      <c r="I561" s="60" t="s">
        <v>90</v>
      </c>
      <c r="J561" s="60" t="s">
        <v>2</v>
      </c>
      <c r="K561" s="60" t="s">
        <v>2</v>
      </c>
      <c r="L561" s="60" t="s">
        <v>87</v>
      </c>
      <c r="M561" s="60">
        <v>33</v>
      </c>
      <c r="N561" s="60" t="s">
        <v>87</v>
      </c>
      <c r="O561" s="60">
        <v>4</v>
      </c>
      <c r="P561" s="60" t="s">
        <v>754</v>
      </c>
      <c r="Q561" s="60" t="s">
        <v>22</v>
      </c>
      <c r="R561" s="60" t="s">
        <v>21</v>
      </c>
      <c r="S561" s="60" t="s">
        <v>3</v>
      </c>
      <c r="T561" s="60" t="s">
        <v>94</v>
      </c>
      <c r="U561" s="60" t="s">
        <v>108</v>
      </c>
      <c r="V561" s="60" t="s">
        <v>92</v>
      </c>
      <c r="W561" s="60" t="s">
        <v>93</v>
      </c>
      <c r="X561" s="63" t="s">
        <v>95</v>
      </c>
    </row>
    <row r="562" spans="1:24">
      <c r="A562" s="60">
        <v>359</v>
      </c>
      <c r="B562" s="61" t="s">
        <v>1837</v>
      </c>
      <c r="C562" s="62" t="s">
        <v>1838</v>
      </c>
      <c r="D562" s="62" t="s">
        <v>358</v>
      </c>
      <c r="E562" s="60" t="s">
        <v>152</v>
      </c>
      <c r="F562" s="60" t="s">
        <v>170</v>
      </c>
      <c r="G562" s="60" t="s">
        <v>117</v>
      </c>
      <c r="H562" s="60" t="s">
        <v>707</v>
      </c>
      <c r="I562" s="60" t="s">
        <v>101</v>
      </c>
      <c r="J562" s="60" t="s">
        <v>3</v>
      </c>
      <c r="K562" s="60" t="s">
        <v>3</v>
      </c>
      <c r="L562" s="60" t="s">
        <v>87</v>
      </c>
      <c r="M562" s="60">
        <v>100</v>
      </c>
      <c r="N562" s="60" t="s">
        <v>87</v>
      </c>
      <c r="O562" s="60">
        <v>1</v>
      </c>
      <c r="P562" s="60" t="s">
        <v>729</v>
      </c>
      <c r="Q562" s="60" t="s">
        <v>92</v>
      </c>
      <c r="R562" s="60" t="s">
        <v>20</v>
      </c>
      <c r="S562" s="60" t="s">
        <v>92</v>
      </c>
      <c r="T562" s="60" t="s">
        <v>94</v>
      </c>
      <c r="U562" s="60" t="s">
        <v>93</v>
      </c>
      <c r="V562" s="60" t="s">
        <v>92</v>
      </c>
      <c r="W562" s="60" t="s">
        <v>93</v>
      </c>
      <c r="X562" s="63" t="s">
        <v>102</v>
      </c>
    </row>
    <row r="563" spans="1:24">
      <c r="A563" s="60">
        <v>389</v>
      </c>
      <c r="B563" s="61" t="s">
        <v>1839</v>
      </c>
      <c r="C563" s="62" t="s">
        <v>1840</v>
      </c>
      <c r="D563" s="62" t="s">
        <v>1841</v>
      </c>
      <c r="E563" s="60" t="s">
        <v>123</v>
      </c>
      <c r="F563" s="60" t="s">
        <v>87</v>
      </c>
      <c r="G563" s="60" t="s">
        <v>112</v>
      </c>
      <c r="H563" s="60" t="s">
        <v>707</v>
      </c>
      <c r="I563" s="60" t="s">
        <v>90</v>
      </c>
      <c r="J563" s="60" t="s">
        <v>3</v>
      </c>
      <c r="K563" s="60" t="s">
        <v>3</v>
      </c>
      <c r="L563" s="60" t="s">
        <v>87</v>
      </c>
      <c r="M563" s="60">
        <v>30</v>
      </c>
      <c r="N563" s="60" t="s">
        <v>87</v>
      </c>
      <c r="O563" s="60">
        <v>5</v>
      </c>
      <c r="P563" s="60" t="s">
        <v>708</v>
      </c>
      <c r="Q563" s="60" t="s">
        <v>22</v>
      </c>
      <c r="R563" s="60" t="s">
        <v>21</v>
      </c>
      <c r="S563" s="60" t="s">
        <v>23</v>
      </c>
      <c r="T563" s="60" t="s">
        <v>94</v>
      </c>
      <c r="U563" s="60" t="s">
        <v>108</v>
      </c>
      <c r="V563" s="60" t="s">
        <v>94</v>
      </c>
      <c r="W563" s="60" t="s">
        <v>93</v>
      </c>
      <c r="X563" s="63" t="s">
        <v>95</v>
      </c>
    </row>
    <row r="564" spans="1:24">
      <c r="A564" s="60">
        <v>865</v>
      </c>
      <c r="B564" s="61" t="s">
        <v>1082</v>
      </c>
      <c r="C564" s="62" t="s">
        <v>1083</v>
      </c>
      <c r="D564" s="62" t="s">
        <v>1084</v>
      </c>
      <c r="E564" s="60" t="s">
        <v>190</v>
      </c>
      <c r="F564" s="60" t="s">
        <v>87</v>
      </c>
      <c r="G564" s="60" t="s">
        <v>171</v>
      </c>
      <c r="H564" s="60" t="s">
        <v>707</v>
      </c>
      <c r="I564" s="60" t="s">
        <v>101</v>
      </c>
      <c r="J564" s="60" t="s">
        <v>2</v>
      </c>
      <c r="K564" s="60" t="s">
        <v>2</v>
      </c>
      <c r="L564" s="60" t="s">
        <v>87</v>
      </c>
      <c r="M564" s="60">
        <v>58</v>
      </c>
      <c r="N564" s="60" t="s">
        <v>87</v>
      </c>
      <c r="O564" s="60">
        <v>11</v>
      </c>
      <c r="P564" s="60" t="s">
        <v>778</v>
      </c>
      <c r="Q564" s="60" t="s">
        <v>24</v>
      </c>
      <c r="R564" s="60" t="s">
        <v>20</v>
      </c>
      <c r="S564" s="60" t="s">
        <v>37</v>
      </c>
      <c r="T564" s="60" t="s">
        <v>94</v>
      </c>
      <c r="U564" s="60" t="s">
        <v>108</v>
      </c>
      <c r="V564" s="60" t="s">
        <v>92</v>
      </c>
      <c r="W564" s="60" t="s">
        <v>90</v>
      </c>
      <c r="X564" s="63" t="s">
        <v>102</v>
      </c>
    </row>
    <row r="565" spans="1:24">
      <c r="A565" s="60">
        <v>147</v>
      </c>
      <c r="B565" s="61" t="s">
        <v>1842</v>
      </c>
      <c r="C565" s="62" t="s">
        <v>1085</v>
      </c>
      <c r="D565" s="62" t="s">
        <v>217</v>
      </c>
      <c r="E565" s="60" t="s">
        <v>111</v>
      </c>
      <c r="F565" s="60" t="s">
        <v>87</v>
      </c>
      <c r="G565" s="60" t="s">
        <v>112</v>
      </c>
      <c r="H565" s="60" t="s">
        <v>707</v>
      </c>
      <c r="I565" s="60" t="s">
        <v>101</v>
      </c>
      <c r="J565" s="60" t="s">
        <v>2</v>
      </c>
      <c r="K565" s="60" t="s">
        <v>2</v>
      </c>
      <c r="L565" s="60" t="s">
        <v>87</v>
      </c>
      <c r="M565" s="60">
        <v>31</v>
      </c>
      <c r="N565" s="60" t="s">
        <v>87</v>
      </c>
      <c r="O565" s="60">
        <v>5</v>
      </c>
      <c r="P565" s="60" t="s">
        <v>708</v>
      </c>
      <c r="Q565" s="60" t="s">
        <v>19</v>
      </c>
      <c r="R565" s="60" t="s">
        <v>21</v>
      </c>
      <c r="S565" s="60" t="s">
        <v>92</v>
      </c>
      <c r="T565" s="60" t="s">
        <v>94</v>
      </c>
      <c r="U565" s="60" t="s">
        <v>108</v>
      </c>
      <c r="V565" s="60" t="s">
        <v>92</v>
      </c>
      <c r="W565" s="60" t="s">
        <v>93</v>
      </c>
      <c r="X565" s="63" t="s">
        <v>102</v>
      </c>
    </row>
    <row r="566" spans="1:24">
      <c r="A566" s="60">
        <v>533</v>
      </c>
      <c r="B566" s="61" t="s">
        <v>1086</v>
      </c>
      <c r="C566" s="62" t="s">
        <v>1085</v>
      </c>
      <c r="D566" s="62" t="s">
        <v>522</v>
      </c>
      <c r="E566" s="60" t="s">
        <v>141</v>
      </c>
      <c r="F566" s="60" t="s">
        <v>87</v>
      </c>
      <c r="G566" s="60" t="s">
        <v>99</v>
      </c>
      <c r="H566" s="60" t="s">
        <v>707</v>
      </c>
      <c r="I566" s="60" t="s">
        <v>101</v>
      </c>
      <c r="J566" s="60" t="s">
        <v>2</v>
      </c>
      <c r="K566" s="60" t="s">
        <v>2</v>
      </c>
      <c r="L566" s="60" t="s">
        <v>87</v>
      </c>
      <c r="M566" s="60">
        <v>70</v>
      </c>
      <c r="N566" s="60" t="s">
        <v>87</v>
      </c>
      <c r="O566" s="60">
        <v>19</v>
      </c>
      <c r="P566" s="60" t="s">
        <v>770</v>
      </c>
      <c r="Q566" s="60" t="s">
        <v>19</v>
      </c>
      <c r="R566" s="60" t="s">
        <v>20</v>
      </c>
      <c r="S566" s="60" t="s">
        <v>37</v>
      </c>
      <c r="T566" s="60" t="s">
        <v>92</v>
      </c>
      <c r="U566" s="60" t="s">
        <v>108</v>
      </c>
      <c r="V566" s="60" t="s">
        <v>92</v>
      </c>
      <c r="W566" s="60" t="s">
        <v>93</v>
      </c>
      <c r="X566" s="63" t="s">
        <v>102</v>
      </c>
    </row>
    <row r="567" spans="1:24">
      <c r="A567" s="60">
        <v>904</v>
      </c>
      <c r="B567" s="61" t="s">
        <v>1412</v>
      </c>
      <c r="C567" s="62" t="s">
        <v>1085</v>
      </c>
      <c r="D567" s="62" t="s">
        <v>253</v>
      </c>
      <c r="E567" s="60" t="s">
        <v>127</v>
      </c>
      <c r="F567" s="60" t="s">
        <v>170</v>
      </c>
      <c r="G567" s="60" t="s">
        <v>99</v>
      </c>
      <c r="H567" s="60" t="s">
        <v>707</v>
      </c>
      <c r="I567" s="60" t="s">
        <v>90</v>
      </c>
      <c r="J567" s="60" t="s">
        <v>2</v>
      </c>
      <c r="K567" s="60" t="s">
        <v>2</v>
      </c>
      <c r="L567" s="60" t="s">
        <v>87</v>
      </c>
      <c r="M567" s="60">
        <v>100</v>
      </c>
      <c r="N567" s="60" t="s">
        <v>87</v>
      </c>
      <c r="O567" s="60">
        <v>1</v>
      </c>
      <c r="P567" s="60" t="s">
        <v>729</v>
      </c>
      <c r="Q567" s="60" t="s">
        <v>92</v>
      </c>
      <c r="R567" s="60" t="s">
        <v>21</v>
      </c>
      <c r="S567" s="60" t="s">
        <v>3</v>
      </c>
      <c r="T567" s="60" t="s">
        <v>94</v>
      </c>
      <c r="U567" s="60" t="s">
        <v>108</v>
      </c>
      <c r="V567" s="60" t="s">
        <v>94</v>
      </c>
      <c r="W567" s="60" t="s">
        <v>93</v>
      </c>
      <c r="X567" s="63" t="s">
        <v>95</v>
      </c>
    </row>
    <row r="568" spans="1:24">
      <c r="A568" s="60">
        <v>805</v>
      </c>
      <c r="B568" s="61" t="s">
        <v>1087</v>
      </c>
      <c r="C568" s="62" t="s">
        <v>1088</v>
      </c>
      <c r="D568" s="62" t="s">
        <v>145</v>
      </c>
      <c r="E568" s="60" t="s">
        <v>318</v>
      </c>
      <c r="F568" s="60" t="s">
        <v>87</v>
      </c>
      <c r="G568" s="60" t="s">
        <v>117</v>
      </c>
      <c r="H568" s="60" t="s">
        <v>707</v>
      </c>
      <c r="I568" s="60" t="s">
        <v>90</v>
      </c>
      <c r="J568" s="60" t="s">
        <v>2</v>
      </c>
      <c r="K568" s="60" t="s">
        <v>2</v>
      </c>
      <c r="L568" s="60" t="s">
        <v>87</v>
      </c>
      <c r="M568" s="60">
        <v>69</v>
      </c>
      <c r="N568" s="60" t="s">
        <v>87</v>
      </c>
      <c r="O568" s="60">
        <v>18</v>
      </c>
      <c r="P568" s="60" t="s">
        <v>758</v>
      </c>
      <c r="Q568" s="60" t="s">
        <v>24</v>
      </c>
      <c r="R568" s="60" t="s">
        <v>92</v>
      </c>
      <c r="S568" s="60" t="s">
        <v>23</v>
      </c>
      <c r="T568" s="60" t="s">
        <v>94</v>
      </c>
      <c r="U568" s="60" t="s">
        <v>108</v>
      </c>
      <c r="V568" s="60" t="s">
        <v>92</v>
      </c>
      <c r="W568" s="60" t="s">
        <v>90</v>
      </c>
      <c r="X568" s="63" t="s">
        <v>95</v>
      </c>
    </row>
    <row r="569" spans="1:24">
      <c r="A569" s="60">
        <v>1271</v>
      </c>
      <c r="B569" s="61" t="s">
        <v>1453</v>
      </c>
      <c r="C569" s="62" t="s">
        <v>1454</v>
      </c>
      <c r="D569" s="62" t="s">
        <v>997</v>
      </c>
      <c r="E569" s="60" t="s">
        <v>226</v>
      </c>
      <c r="F569" s="60" t="s">
        <v>170</v>
      </c>
      <c r="G569" s="60" t="s">
        <v>150</v>
      </c>
      <c r="H569" s="60" t="s">
        <v>707</v>
      </c>
      <c r="I569" s="60" t="s">
        <v>90</v>
      </c>
      <c r="J569" s="60" t="s">
        <v>2</v>
      </c>
      <c r="K569" s="60" t="s">
        <v>2</v>
      </c>
      <c r="L569" s="60" t="s">
        <v>87</v>
      </c>
      <c r="M569" s="60">
        <v>100</v>
      </c>
      <c r="N569" s="60" t="s">
        <v>87</v>
      </c>
      <c r="O569" s="60">
        <v>1</v>
      </c>
      <c r="P569" s="60" t="s">
        <v>729</v>
      </c>
      <c r="Q569" s="60" t="s">
        <v>92</v>
      </c>
      <c r="R569" s="60" t="s">
        <v>92</v>
      </c>
      <c r="S569" s="60" t="s">
        <v>38</v>
      </c>
      <c r="T569" s="60" t="s">
        <v>92</v>
      </c>
      <c r="U569" s="60" t="s">
        <v>108</v>
      </c>
      <c r="V569" s="60" t="s">
        <v>92</v>
      </c>
      <c r="W569" s="60" t="s">
        <v>93</v>
      </c>
      <c r="X569" s="63" t="s">
        <v>95</v>
      </c>
    </row>
    <row r="570" spans="1:24">
      <c r="A570" s="60">
        <v>891</v>
      </c>
      <c r="B570" s="61" t="s">
        <v>1843</v>
      </c>
      <c r="C570" s="62" t="s">
        <v>601</v>
      </c>
      <c r="D570" s="62" t="s">
        <v>168</v>
      </c>
      <c r="E570" s="60" t="s">
        <v>266</v>
      </c>
      <c r="F570" s="60" t="s">
        <v>87</v>
      </c>
      <c r="G570" s="60" t="s">
        <v>147</v>
      </c>
      <c r="H570" s="60" t="s">
        <v>100</v>
      </c>
      <c r="I570" s="60" t="s">
        <v>101</v>
      </c>
      <c r="J570" s="60" t="s">
        <v>2</v>
      </c>
      <c r="K570" s="60" t="s">
        <v>2</v>
      </c>
      <c r="L570" s="60">
        <v>74</v>
      </c>
      <c r="M570" s="60">
        <v>3</v>
      </c>
      <c r="N570" s="60">
        <v>9</v>
      </c>
      <c r="O570" s="60" t="s">
        <v>368</v>
      </c>
      <c r="P570" s="60" t="s">
        <v>340</v>
      </c>
      <c r="Q570" s="60" t="s">
        <v>22</v>
      </c>
      <c r="R570" s="60" t="s">
        <v>92</v>
      </c>
      <c r="S570" s="60" t="s">
        <v>92</v>
      </c>
      <c r="T570" s="60" t="s">
        <v>94</v>
      </c>
      <c r="U570" s="60" t="s">
        <v>90</v>
      </c>
      <c r="V570" s="60" t="s">
        <v>92</v>
      </c>
      <c r="W570" s="60" t="s">
        <v>101</v>
      </c>
      <c r="X570" s="63" t="s">
        <v>102</v>
      </c>
    </row>
    <row r="571" spans="1:24">
      <c r="A571" s="60">
        <v>57</v>
      </c>
      <c r="B571" s="61" t="s">
        <v>1089</v>
      </c>
      <c r="C571" s="62" t="s">
        <v>601</v>
      </c>
      <c r="D571" s="62" t="s">
        <v>287</v>
      </c>
      <c r="E571" s="60" t="s">
        <v>86</v>
      </c>
      <c r="F571" s="60" t="s">
        <v>87</v>
      </c>
      <c r="G571" s="60" t="s">
        <v>150</v>
      </c>
      <c r="H571" s="60" t="s">
        <v>707</v>
      </c>
      <c r="I571" s="60" t="s">
        <v>101</v>
      </c>
      <c r="J571" s="60" t="s">
        <v>3</v>
      </c>
      <c r="K571" s="60" t="s">
        <v>3</v>
      </c>
      <c r="L571" s="60" t="s">
        <v>87</v>
      </c>
      <c r="M571" s="60">
        <v>61</v>
      </c>
      <c r="N571" s="60" t="s">
        <v>87</v>
      </c>
      <c r="O571" s="60">
        <v>9</v>
      </c>
      <c r="P571" s="60" t="s">
        <v>744</v>
      </c>
      <c r="Q571" s="60" t="s">
        <v>22</v>
      </c>
      <c r="R571" s="60" t="s">
        <v>92</v>
      </c>
      <c r="S571" s="60" t="s">
        <v>92</v>
      </c>
      <c r="T571" s="60" t="s">
        <v>94</v>
      </c>
      <c r="U571" s="60" t="s">
        <v>90</v>
      </c>
      <c r="V571" s="60" t="s">
        <v>92</v>
      </c>
      <c r="W571" s="60" t="s">
        <v>93</v>
      </c>
      <c r="X571" s="63" t="s">
        <v>102</v>
      </c>
    </row>
    <row r="572" spans="1:24">
      <c r="A572" s="60">
        <v>827</v>
      </c>
      <c r="B572" s="61" t="s">
        <v>600</v>
      </c>
      <c r="C572" s="62" t="s">
        <v>601</v>
      </c>
      <c r="D572" s="62" t="s">
        <v>602</v>
      </c>
      <c r="E572" s="60" t="s">
        <v>209</v>
      </c>
      <c r="F572" s="60" t="s">
        <v>87</v>
      </c>
      <c r="G572" s="60" t="s">
        <v>164</v>
      </c>
      <c r="H572" s="60" t="s">
        <v>100</v>
      </c>
      <c r="I572" s="60" t="s">
        <v>90</v>
      </c>
      <c r="J572" s="60" t="s">
        <v>2</v>
      </c>
      <c r="K572" s="60" t="s">
        <v>2</v>
      </c>
      <c r="L572" s="60">
        <v>196</v>
      </c>
      <c r="M572" s="60" t="s">
        <v>87</v>
      </c>
      <c r="N572" s="60">
        <v>14</v>
      </c>
      <c r="O572" s="60" t="s">
        <v>87</v>
      </c>
      <c r="P572" s="60">
        <v>14</v>
      </c>
      <c r="Q572" s="60" t="s">
        <v>19</v>
      </c>
      <c r="R572" s="60" t="s">
        <v>21</v>
      </c>
      <c r="S572" s="60" t="s">
        <v>37</v>
      </c>
      <c r="T572" s="60" t="s">
        <v>94</v>
      </c>
      <c r="U572" s="60" t="s">
        <v>108</v>
      </c>
      <c r="V572" s="60" t="s">
        <v>92</v>
      </c>
      <c r="W572" s="60" t="s">
        <v>93</v>
      </c>
      <c r="X572" s="63" t="s">
        <v>95</v>
      </c>
    </row>
    <row r="573" spans="1:24">
      <c r="A573" s="60">
        <v>540</v>
      </c>
      <c r="B573" s="61" t="s">
        <v>1090</v>
      </c>
      <c r="C573" s="62" t="s">
        <v>1091</v>
      </c>
      <c r="D573" s="62" t="s">
        <v>1092</v>
      </c>
      <c r="E573" s="60" t="s">
        <v>141</v>
      </c>
      <c r="F573" s="60" t="s">
        <v>87</v>
      </c>
      <c r="G573" s="60" t="s">
        <v>99</v>
      </c>
      <c r="H573" s="60" t="s">
        <v>707</v>
      </c>
      <c r="I573" s="60" t="s">
        <v>90</v>
      </c>
      <c r="J573" s="60" t="s">
        <v>2</v>
      </c>
      <c r="K573" s="60" t="s">
        <v>3</v>
      </c>
      <c r="L573" s="60" t="s">
        <v>87</v>
      </c>
      <c r="M573" s="60">
        <v>27</v>
      </c>
      <c r="N573" s="60" t="s">
        <v>87</v>
      </c>
      <c r="O573" s="60">
        <v>7</v>
      </c>
      <c r="P573" s="60" t="s">
        <v>722</v>
      </c>
      <c r="Q573" s="60" t="s">
        <v>19</v>
      </c>
      <c r="R573" s="60" t="s">
        <v>21</v>
      </c>
      <c r="S573" s="60" t="s">
        <v>3</v>
      </c>
      <c r="T573" s="60" t="s">
        <v>94</v>
      </c>
      <c r="U573" s="60" t="s">
        <v>108</v>
      </c>
      <c r="V573" s="60" t="s">
        <v>94</v>
      </c>
      <c r="W573" s="60" t="s">
        <v>93</v>
      </c>
      <c r="X573" s="63" t="s">
        <v>95</v>
      </c>
    </row>
    <row r="574" spans="1:24">
      <c r="A574" s="60">
        <v>990</v>
      </c>
      <c r="B574" s="61" t="s">
        <v>1413</v>
      </c>
      <c r="C574" s="62" t="s">
        <v>1414</v>
      </c>
      <c r="D574" s="62" t="s">
        <v>571</v>
      </c>
      <c r="E574" s="60" t="s">
        <v>169</v>
      </c>
      <c r="F574" s="60" t="s">
        <v>170</v>
      </c>
      <c r="G574" s="60" t="s">
        <v>150</v>
      </c>
      <c r="H574" s="60" t="s">
        <v>100</v>
      </c>
      <c r="I574" s="60" t="s">
        <v>90</v>
      </c>
      <c r="J574" s="60" t="s">
        <v>2</v>
      </c>
      <c r="K574" s="60" t="s">
        <v>2</v>
      </c>
      <c r="L574" s="60">
        <v>200</v>
      </c>
      <c r="M574" s="60">
        <v>100</v>
      </c>
      <c r="N574" s="60">
        <v>1</v>
      </c>
      <c r="O574" s="60">
        <v>1</v>
      </c>
      <c r="P574" s="60" t="s">
        <v>255</v>
      </c>
      <c r="Q574" s="60" t="s">
        <v>92</v>
      </c>
      <c r="R574" s="60" t="s">
        <v>21</v>
      </c>
      <c r="S574" s="60" t="s">
        <v>92</v>
      </c>
      <c r="T574" s="60" t="s">
        <v>94</v>
      </c>
      <c r="U574" s="60" t="s">
        <v>108</v>
      </c>
      <c r="V574" s="60" t="s">
        <v>92</v>
      </c>
      <c r="W574" s="60" t="s">
        <v>93</v>
      </c>
      <c r="X574" s="63" t="s">
        <v>95</v>
      </c>
    </row>
    <row r="575" spans="1:24">
      <c r="A575" s="60">
        <v>1034</v>
      </c>
      <c r="B575" s="61" t="s">
        <v>1844</v>
      </c>
      <c r="C575" s="62" t="s">
        <v>1845</v>
      </c>
      <c r="D575" s="62" t="s">
        <v>647</v>
      </c>
      <c r="E575" s="60" t="s">
        <v>408</v>
      </c>
      <c r="F575" s="60" t="s">
        <v>87</v>
      </c>
      <c r="G575" s="60" t="s">
        <v>107</v>
      </c>
      <c r="H575" s="60" t="s">
        <v>707</v>
      </c>
      <c r="I575" s="60" t="s">
        <v>90</v>
      </c>
      <c r="J575" s="60" t="s">
        <v>2</v>
      </c>
      <c r="K575" s="60" t="s">
        <v>2</v>
      </c>
      <c r="L575" s="60" t="s">
        <v>87</v>
      </c>
      <c r="M575" s="60">
        <v>16</v>
      </c>
      <c r="N575" s="60" t="s">
        <v>87</v>
      </c>
      <c r="O575" s="60">
        <v>4</v>
      </c>
      <c r="P575" s="60" t="s">
        <v>754</v>
      </c>
      <c r="Q575" s="60" t="s">
        <v>22</v>
      </c>
      <c r="R575" s="60" t="s">
        <v>20</v>
      </c>
      <c r="S575" s="60" t="s">
        <v>92</v>
      </c>
      <c r="T575" s="60" t="s">
        <v>92</v>
      </c>
      <c r="U575" s="60" t="s">
        <v>108</v>
      </c>
      <c r="V575" s="60" t="s">
        <v>94</v>
      </c>
      <c r="W575" s="60" t="s">
        <v>93</v>
      </c>
      <c r="X575" s="63" t="s">
        <v>95</v>
      </c>
    </row>
    <row r="576" spans="1:24">
      <c r="A576" s="60">
        <v>588</v>
      </c>
      <c r="B576" s="61" t="s">
        <v>604</v>
      </c>
      <c r="C576" s="62" t="s">
        <v>605</v>
      </c>
      <c r="D576" s="62" t="s">
        <v>122</v>
      </c>
      <c r="E576" s="60" t="s">
        <v>163</v>
      </c>
      <c r="F576" s="60" t="s">
        <v>87</v>
      </c>
      <c r="G576" s="60" t="s">
        <v>164</v>
      </c>
      <c r="H576" s="60" t="s">
        <v>100</v>
      </c>
      <c r="I576" s="60" t="s">
        <v>101</v>
      </c>
      <c r="J576" s="60" t="s">
        <v>3</v>
      </c>
      <c r="K576" s="60" t="s">
        <v>3</v>
      </c>
      <c r="L576" s="60">
        <v>125</v>
      </c>
      <c r="M576" s="60">
        <v>7</v>
      </c>
      <c r="N576" s="60">
        <v>4</v>
      </c>
      <c r="O576" s="60" t="s">
        <v>118</v>
      </c>
      <c r="P576" s="60" t="s">
        <v>174</v>
      </c>
      <c r="Q576" s="60" t="s">
        <v>92</v>
      </c>
      <c r="R576" s="60" t="s">
        <v>92</v>
      </c>
      <c r="S576" s="60" t="s">
        <v>3</v>
      </c>
      <c r="T576" s="60" t="s">
        <v>92</v>
      </c>
      <c r="U576" s="60" t="s">
        <v>90</v>
      </c>
      <c r="V576" s="60" t="s">
        <v>92</v>
      </c>
      <c r="W576" s="60" t="s">
        <v>90</v>
      </c>
      <c r="X576" s="63" t="s">
        <v>102</v>
      </c>
    </row>
    <row r="577" spans="1:24">
      <c r="A577" s="60">
        <v>539</v>
      </c>
      <c r="B577" s="61" t="s">
        <v>1093</v>
      </c>
      <c r="C577" s="62" t="s">
        <v>1094</v>
      </c>
      <c r="D577" s="62" t="s">
        <v>487</v>
      </c>
      <c r="E577" s="60" t="s">
        <v>141</v>
      </c>
      <c r="F577" s="60" t="s">
        <v>87</v>
      </c>
      <c r="G577" s="60" t="s">
        <v>182</v>
      </c>
      <c r="H577" s="60" t="s">
        <v>707</v>
      </c>
      <c r="I577" s="60" t="s">
        <v>101</v>
      </c>
      <c r="J577" s="60" t="s">
        <v>3</v>
      </c>
      <c r="K577" s="60" t="s">
        <v>3</v>
      </c>
      <c r="L577" s="60" t="s">
        <v>87</v>
      </c>
      <c r="M577" s="60">
        <v>34</v>
      </c>
      <c r="N577" s="60" t="s">
        <v>87</v>
      </c>
      <c r="O577" s="60">
        <v>3</v>
      </c>
      <c r="P577" s="60" t="s">
        <v>727</v>
      </c>
      <c r="Q577" s="60" t="s">
        <v>92</v>
      </c>
      <c r="R577" s="60" t="s">
        <v>20</v>
      </c>
      <c r="S577" s="60" t="s">
        <v>92</v>
      </c>
      <c r="T577" s="60" t="s">
        <v>94</v>
      </c>
      <c r="U577" s="60" t="s">
        <v>93</v>
      </c>
      <c r="V577" s="60" t="s">
        <v>94</v>
      </c>
      <c r="W577" s="60" t="s">
        <v>90</v>
      </c>
      <c r="X577" s="63" t="s">
        <v>102</v>
      </c>
    </row>
    <row r="578" spans="1:24">
      <c r="A578" s="60">
        <v>950</v>
      </c>
      <c r="B578" s="61" t="s">
        <v>1415</v>
      </c>
      <c r="C578" s="62" t="s">
        <v>1416</v>
      </c>
      <c r="D578" s="62" t="s">
        <v>331</v>
      </c>
      <c r="E578" s="60" t="s">
        <v>111</v>
      </c>
      <c r="F578" s="60" t="s">
        <v>87</v>
      </c>
      <c r="G578" s="60" t="s">
        <v>107</v>
      </c>
      <c r="H578" s="60" t="s">
        <v>89</v>
      </c>
      <c r="I578" s="60" t="s">
        <v>101</v>
      </c>
      <c r="J578" s="60" t="s">
        <v>3</v>
      </c>
      <c r="K578" s="60" t="s">
        <v>3</v>
      </c>
      <c r="L578" s="60">
        <v>31</v>
      </c>
      <c r="M578" s="60">
        <v>26</v>
      </c>
      <c r="N578" s="60">
        <v>3</v>
      </c>
      <c r="O578" s="60" t="s">
        <v>118</v>
      </c>
      <c r="P578" s="60" t="s">
        <v>119</v>
      </c>
      <c r="Q578" s="60" t="s">
        <v>92</v>
      </c>
      <c r="R578" s="60" t="s">
        <v>92</v>
      </c>
      <c r="S578" s="60" t="s">
        <v>3</v>
      </c>
      <c r="T578" s="60" t="s">
        <v>94</v>
      </c>
      <c r="U578" s="60" t="s">
        <v>90</v>
      </c>
      <c r="V578" s="60" t="s">
        <v>92</v>
      </c>
      <c r="W578" s="60" t="s">
        <v>90</v>
      </c>
      <c r="X578" s="63" t="s">
        <v>102</v>
      </c>
    </row>
    <row r="579" spans="1:24">
      <c r="A579" s="60">
        <v>832</v>
      </c>
      <c r="B579" s="61" t="s">
        <v>1095</v>
      </c>
      <c r="C579" s="62" t="s">
        <v>1096</v>
      </c>
      <c r="D579" s="62" t="s">
        <v>1097</v>
      </c>
      <c r="E579" s="60" t="s">
        <v>127</v>
      </c>
      <c r="F579" s="60" t="s">
        <v>87</v>
      </c>
      <c r="G579" s="60" t="s">
        <v>182</v>
      </c>
      <c r="H579" s="60" t="s">
        <v>707</v>
      </c>
      <c r="I579" s="60" t="s">
        <v>90</v>
      </c>
      <c r="J579" s="60" t="s">
        <v>3</v>
      </c>
      <c r="K579" s="60" t="s">
        <v>3</v>
      </c>
      <c r="L579" s="60" t="s">
        <v>87</v>
      </c>
      <c r="M579" s="60">
        <v>35</v>
      </c>
      <c r="N579" s="60" t="s">
        <v>87</v>
      </c>
      <c r="O579" s="60">
        <v>3</v>
      </c>
      <c r="P579" s="60" t="s">
        <v>727</v>
      </c>
      <c r="Q579" s="60" t="s">
        <v>19</v>
      </c>
      <c r="R579" s="60" t="s">
        <v>92</v>
      </c>
      <c r="S579" s="60" t="s">
        <v>92</v>
      </c>
      <c r="T579" s="60" t="s">
        <v>94</v>
      </c>
      <c r="U579" s="60" t="s">
        <v>108</v>
      </c>
      <c r="V579" s="60" t="s">
        <v>92</v>
      </c>
      <c r="W579" s="60" t="s">
        <v>93</v>
      </c>
      <c r="X579" s="63" t="s">
        <v>95</v>
      </c>
    </row>
    <row r="580" spans="1:24">
      <c r="A580" s="60">
        <v>286</v>
      </c>
      <c r="B580" s="61" t="s">
        <v>606</v>
      </c>
      <c r="C580" s="62" t="s">
        <v>607</v>
      </c>
      <c r="D580" s="62" t="s">
        <v>608</v>
      </c>
      <c r="E580" s="60" t="s">
        <v>408</v>
      </c>
      <c r="F580" s="60" t="s">
        <v>87</v>
      </c>
      <c r="G580" s="60" t="s">
        <v>158</v>
      </c>
      <c r="H580" s="60" t="s">
        <v>100</v>
      </c>
      <c r="I580" s="60" t="s">
        <v>90</v>
      </c>
      <c r="J580" s="60" t="s">
        <v>3</v>
      </c>
      <c r="K580" s="60" t="s">
        <v>3</v>
      </c>
      <c r="L580" s="60">
        <v>168</v>
      </c>
      <c r="M580" s="60" t="s">
        <v>87</v>
      </c>
      <c r="N580" s="60">
        <v>3</v>
      </c>
      <c r="O580" s="60" t="s">
        <v>87</v>
      </c>
      <c r="P580" s="60">
        <v>3</v>
      </c>
      <c r="Q580" s="60" t="s">
        <v>22</v>
      </c>
      <c r="R580" s="60" t="s">
        <v>92</v>
      </c>
      <c r="S580" s="60" t="s">
        <v>3</v>
      </c>
      <c r="T580" s="60" t="s">
        <v>92</v>
      </c>
      <c r="U580" s="60" t="s">
        <v>101</v>
      </c>
      <c r="V580" s="60" t="s">
        <v>92</v>
      </c>
      <c r="W580" s="60" t="s">
        <v>90</v>
      </c>
      <c r="X580" s="63" t="s">
        <v>95</v>
      </c>
    </row>
    <row r="581" spans="1:24">
      <c r="A581" s="60">
        <v>1280</v>
      </c>
      <c r="B581" s="61" t="s">
        <v>1417</v>
      </c>
      <c r="C581" s="62" t="s">
        <v>1418</v>
      </c>
      <c r="D581" s="62" t="s">
        <v>886</v>
      </c>
      <c r="E581" s="60" t="s">
        <v>194</v>
      </c>
      <c r="F581" s="60" t="s">
        <v>87</v>
      </c>
      <c r="G581" s="60" t="s">
        <v>112</v>
      </c>
      <c r="H581" s="60" t="s">
        <v>100</v>
      </c>
      <c r="I581" s="60" t="s">
        <v>101</v>
      </c>
      <c r="J581" s="60" t="s">
        <v>2</v>
      </c>
      <c r="K581" s="60" t="s">
        <v>2</v>
      </c>
      <c r="L581" s="60">
        <v>5</v>
      </c>
      <c r="M581" s="60" t="s">
        <v>87</v>
      </c>
      <c r="N581" s="60">
        <v>5</v>
      </c>
      <c r="O581" s="60" t="s">
        <v>87</v>
      </c>
      <c r="P581" s="60">
        <v>5</v>
      </c>
      <c r="Q581" s="60" t="s">
        <v>19</v>
      </c>
      <c r="R581" s="60" t="s">
        <v>20</v>
      </c>
      <c r="S581" s="60" t="s">
        <v>38</v>
      </c>
      <c r="T581" s="60" t="s">
        <v>92</v>
      </c>
      <c r="U581" s="60" t="s">
        <v>101</v>
      </c>
      <c r="V581" s="60" t="s">
        <v>92</v>
      </c>
      <c r="W581" s="60" t="s">
        <v>90</v>
      </c>
      <c r="X581" s="63" t="s">
        <v>102</v>
      </c>
    </row>
    <row r="582" spans="1:24">
      <c r="A582" s="60">
        <v>233</v>
      </c>
      <c r="B582" s="61" t="s">
        <v>1098</v>
      </c>
      <c r="C582" s="62" t="s">
        <v>1099</v>
      </c>
      <c r="D582" s="62" t="s">
        <v>711</v>
      </c>
      <c r="E582" s="60" t="s">
        <v>169</v>
      </c>
      <c r="F582" s="60" t="s">
        <v>87</v>
      </c>
      <c r="G582" s="60" t="s">
        <v>88</v>
      </c>
      <c r="H582" s="60" t="s">
        <v>707</v>
      </c>
      <c r="I582" s="60" t="s">
        <v>101</v>
      </c>
      <c r="J582" s="60" t="s">
        <v>2</v>
      </c>
      <c r="K582" s="60" t="s">
        <v>2</v>
      </c>
      <c r="L582" s="60" t="s">
        <v>87</v>
      </c>
      <c r="M582" s="60">
        <v>64</v>
      </c>
      <c r="N582" s="60" t="s">
        <v>87</v>
      </c>
      <c r="O582" s="60">
        <v>4</v>
      </c>
      <c r="P582" s="60" t="s">
        <v>754</v>
      </c>
      <c r="Q582" s="60" t="s">
        <v>24</v>
      </c>
      <c r="R582" s="60" t="s">
        <v>20</v>
      </c>
      <c r="S582" s="60" t="s">
        <v>92</v>
      </c>
      <c r="T582" s="60" t="s">
        <v>94</v>
      </c>
      <c r="U582" s="60" t="s">
        <v>108</v>
      </c>
      <c r="V582" s="60" t="s">
        <v>92</v>
      </c>
      <c r="W582" s="60" t="s">
        <v>93</v>
      </c>
      <c r="X582" s="63" t="s">
        <v>102</v>
      </c>
    </row>
    <row r="583" spans="1:24">
      <c r="A583" s="60">
        <v>106</v>
      </c>
      <c r="B583" s="61" t="s">
        <v>609</v>
      </c>
      <c r="C583" s="62" t="s">
        <v>610</v>
      </c>
      <c r="D583" s="62" t="s">
        <v>276</v>
      </c>
      <c r="E583" s="60" t="s">
        <v>146</v>
      </c>
      <c r="F583" s="60" t="s">
        <v>87</v>
      </c>
      <c r="G583" s="60" t="s">
        <v>117</v>
      </c>
      <c r="H583" s="60" t="s">
        <v>100</v>
      </c>
      <c r="I583" s="60" t="s">
        <v>90</v>
      </c>
      <c r="J583" s="60" t="s">
        <v>3</v>
      </c>
      <c r="K583" s="60" t="s">
        <v>2</v>
      </c>
      <c r="L583" s="60">
        <v>185</v>
      </c>
      <c r="M583" s="60" t="s">
        <v>87</v>
      </c>
      <c r="N583" s="60">
        <v>12</v>
      </c>
      <c r="O583" s="60" t="s">
        <v>87</v>
      </c>
      <c r="P583" s="60">
        <v>12</v>
      </c>
      <c r="Q583" s="60" t="s">
        <v>19</v>
      </c>
      <c r="R583" s="60" t="s">
        <v>92</v>
      </c>
      <c r="S583" s="60" t="s">
        <v>92</v>
      </c>
      <c r="T583" s="60" t="s">
        <v>92</v>
      </c>
      <c r="U583" s="60" t="s">
        <v>90</v>
      </c>
      <c r="V583" s="60" t="s">
        <v>92</v>
      </c>
      <c r="W583" s="60" t="s">
        <v>108</v>
      </c>
      <c r="X583" s="63" t="s">
        <v>95</v>
      </c>
    </row>
    <row r="584" spans="1:24">
      <c r="A584" s="60">
        <v>78</v>
      </c>
      <c r="B584" s="61" t="s">
        <v>611</v>
      </c>
      <c r="C584" s="62" t="s">
        <v>612</v>
      </c>
      <c r="D584" s="62" t="s">
        <v>122</v>
      </c>
      <c r="E584" s="60" t="s">
        <v>133</v>
      </c>
      <c r="F584" s="60" t="s">
        <v>87</v>
      </c>
      <c r="G584" s="60" t="s">
        <v>150</v>
      </c>
      <c r="H584" s="60" t="s">
        <v>100</v>
      </c>
      <c r="I584" s="60" t="s">
        <v>101</v>
      </c>
      <c r="J584" s="60" t="s">
        <v>3</v>
      </c>
      <c r="K584" s="60" t="s">
        <v>3</v>
      </c>
      <c r="L584" s="60">
        <v>209</v>
      </c>
      <c r="M584" s="60" t="s">
        <v>87</v>
      </c>
      <c r="N584" s="60">
        <v>11</v>
      </c>
      <c r="O584" s="60" t="s">
        <v>87</v>
      </c>
      <c r="P584" s="60">
        <v>11</v>
      </c>
      <c r="Q584" s="60" t="s">
        <v>24</v>
      </c>
      <c r="R584" s="60" t="s">
        <v>20</v>
      </c>
      <c r="S584" s="60" t="s">
        <v>92</v>
      </c>
      <c r="T584" s="60" t="s">
        <v>94</v>
      </c>
      <c r="U584" s="60" t="s">
        <v>101</v>
      </c>
      <c r="V584" s="60" t="s">
        <v>92</v>
      </c>
      <c r="W584" s="60" t="s">
        <v>90</v>
      </c>
      <c r="X584" s="63" t="s">
        <v>102</v>
      </c>
    </row>
    <row r="585" spans="1:24">
      <c r="A585" s="60">
        <v>76</v>
      </c>
      <c r="B585" s="61" t="s">
        <v>613</v>
      </c>
      <c r="C585" s="62" t="s">
        <v>614</v>
      </c>
      <c r="D585" s="62" t="s">
        <v>311</v>
      </c>
      <c r="E585" s="60" t="s">
        <v>133</v>
      </c>
      <c r="F585" s="60" t="s">
        <v>87</v>
      </c>
      <c r="G585" s="60" t="s">
        <v>88</v>
      </c>
      <c r="H585" s="60" t="s">
        <v>100</v>
      </c>
      <c r="I585" s="60" t="s">
        <v>101</v>
      </c>
      <c r="J585" s="60" t="s">
        <v>2</v>
      </c>
      <c r="K585" s="60" t="s">
        <v>2</v>
      </c>
      <c r="L585" s="60">
        <v>214</v>
      </c>
      <c r="M585" s="60" t="s">
        <v>87</v>
      </c>
      <c r="N585" s="60">
        <v>4</v>
      </c>
      <c r="O585" s="60" t="s">
        <v>87</v>
      </c>
      <c r="P585" s="60">
        <v>4</v>
      </c>
      <c r="Q585" s="60" t="s">
        <v>92</v>
      </c>
      <c r="R585" s="60" t="s">
        <v>20</v>
      </c>
      <c r="S585" s="60" t="s">
        <v>92</v>
      </c>
      <c r="T585" s="60" t="s">
        <v>94</v>
      </c>
      <c r="U585" s="60" t="s">
        <v>101</v>
      </c>
      <c r="V585" s="60" t="s">
        <v>92</v>
      </c>
      <c r="W585" s="60" t="s">
        <v>93</v>
      </c>
      <c r="X585" s="63" t="s">
        <v>102</v>
      </c>
    </row>
    <row r="586" spans="1:24">
      <c r="A586" s="60">
        <v>558</v>
      </c>
      <c r="B586" s="61" t="s">
        <v>1846</v>
      </c>
      <c r="C586" s="62" t="s">
        <v>1847</v>
      </c>
      <c r="D586" s="62" t="s">
        <v>1848</v>
      </c>
      <c r="E586" s="60" t="s">
        <v>128</v>
      </c>
      <c r="F586" s="60" t="s">
        <v>170</v>
      </c>
      <c r="G586" s="60" t="s">
        <v>112</v>
      </c>
      <c r="H586" s="60" t="s">
        <v>100</v>
      </c>
      <c r="I586" s="60" t="s">
        <v>101</v>
      </c>
      <c r="J586" s="60" t="s">
        <v>2</v>
      </c>
      <c r="K586" s="60" t="s">
        <v>2</v>
      </c>
      <c r="L586" s="60">
        <v>200</v>
      </c>
      <c r="M586" s="60">
        <v>100</v>
      </c>
      <c r="N586" s="60">
        <v>2</v>
      </c>
      <c r="O586" s="60">
        <v>1</v>
      </c>
      <c r="P586" s="60" t="s">
        <v>172</v>
      </c>
      <c r="Q586" s="60" t="s">
        <v>92</v>
      </c>
      <c r="R586" s="60" t="s">
        <v>21</v>
      </c>
      <c r="S586" s="60" t="s">
        <v>92</v>
      </c>
      <c r="T586" s="60" t="s">
        <v>94</v>
      </c>
      <c r="U586" s="60" t="s">
        <v>108</v>
      </c>
      <c r="V586" s="60" t="s">
        <v>94</v>
      </c>
      <c r="W586" s="60" t="s">
        <v>90</v>
      </c>
      <c r="X586" s="63" t="s">
        <v>102</v>
      </c>
    </row>
    <row r="587" spans="1:24">
      <c r="A587" s="60">
        <v>447</v>
      </c>
      <c r="B587" s="61" t="s">
        <v>1419</v>
      </c>
      <c r="C587" s="62" t="s">
        <v>616</v>
      </c>
      <c r="D587" s="62" t="s">
        <v>375</v>
      </c>
      <c r="E587" s="60" t="s">
        <v>186</v>
      </c>
      <c r="F587" s="60" t="s">
        <v>87</v>
      </c>
      <c r="G587" s="60" t="s">
        <v>147</v>
      </c>
      <c r="H587" s="60" t="s">
        <v>89</v>
      </c>
      <c r="I587" s="60" t="s">
        <v>90</v>
      </c>
      <c r="J587" s="60" t="s">
        <v>2</v>
      </c>
      <c r="K587" s="60" t="s">
        <v>2</v>
      </c>
      <c r="L587" s="60">
        <v>66</v>
      </c>
      <c r="M587" s="60">
        <v>27</v>
      </c>
      <c r="N587" s="60">
        <v>12</v>
      </c>
      <c r="O587" s="60" t="s">
        <v>1397</v>
      </c>
      <c r="P587" s="60" t="s">
        <v>1849</v>
      </c>
      <c r="Q587" s="60" t="s">
        <v>92</v>
      </c>
      <c r="R587" s="60" t="s">
        <v>21</v>
      </c>
      <c r="S587" s="60" t="s">
        <v>92</v>
      </c>
      <c r="T587" s="60" t="s">
        <v>94</v>
      </c>
      <c r="U587" s="60" t="s">
        <v>108</v>
      </c>
      <c r="V587" s="60" t="s">
        <v>92</v>
      </c>
      <c r="W587" s="60" t="s">
        <v>108</v>
      </c>
      <c r="X587" s="63" t="s">
        <v>95</v>
      </c>
    </row>
    <row r="588" spans="1:24">
      <c r="A588" s="60">
        <v>136</v>
      </c>
      <c r="B588" s="61" t="s">
        <v>615</v>
      </c>
      <c r="C588" s="62" t="s">
        <v>616</v>
      </c>
      <c r="D588" s="62" t="s">
        <v>617</v>
      </c>
      <c r="E588" s="60" t="s">
        <v>111</v>
      </c>
      <c r="F588" s="60" t="s">
        <v>87</v>
      </c>
      <c r="G588" s="60" t="s">
        <v>142</v>
      </c>
      <c r="H588" s="60" t="s">
        <v>100</v>
      </c>
      <c r="I588" s="60" t="s">
        <v>101</v>
      </c>
      <c r="J588" s="60" t="s">
        <v>2</v>
      </c>
      <c r="K588" s="60" t="s">
        <v>2</v>
      </c>
      <c r="L588" s="60">
        <v>157</v>
      </c>
      <c r="M588" s="60" t="s">
        <v>87</v>
      </c>
      <c r="N588" s="60">
        <v>4</v>
      </c>
      <c r="O588" s="60" t="s">
        <v>87</v>
      </c>
      <c r="P588" s="60">
        <v>4</v>
      </c>
      <c r="Q588" s="60" t="s">
        <v>22</v>
      </c>
      <c r="R588" s="60" t="s">
        <v>92</v>
      </c>
      <c r="S588" s="60" t="s">
        <v>3</v>
      </c>
      <c r="T588" s="60" t="s">
        <v>92</v>
      </c>
      <c r="U588" s="60" t="s">
        <v>101</v>
      </c>
      <c r="V588" s="60" t="s">
        <v>92</v>
      </c>
      <c r="W588" s="60" t="s">
        <v>93</v>
      </c>
      <c r="X588" s="63" t="s">
        <v>102</v>
      </c>
    </row>
    <row r="589" spans="1:24">
      <c r="A589" s="60">
        <v>260</v>
      </c>
      <c r="B589" s="61" t="s">
        <v>618</v>
      </c>
      <c r="C589" s="62" t="s">
        <v>619</v>
      </c>
      <c r="D589" s="62" t="s">
        <v>620</v>
      </c>
      <c r="E589" s="60" t="s">
        <v>98</v>
      </c>
      <c r="F589" s="60" t="s">
        <v>87</v>
      </c>
      <c r="G589" s="60" t="s">
        <v>171</v>
      </c>
      <c r="H589" s="60" t="s">
        <v>100</v>
      </c>
      <c r="I589" s="60" t="s">
        <v>101</v>
      </c>
      <c r="J589" s="60" t="s">
        <v>2</v>
      </c>
      <c r="K589" s="60" t="s">
        <v>2</v>
      </c>
      <c r="L589" s="60">
        <v>108</v>
      </c>
      <c r="M589" s="60" t="s">
        <v>87</v>
      </c>
      <c r="N589" s="60">
        <v>7</v>
      </c>
      <c r="O589" s="60" t="s">
        <v>87</v>
      </c>
      <c r="P589" s="60">
        <v>7</v>
      </c>
      <c r="Q589" s="60" t="s">
        <v>92</v>
      </c>
      <c r="R589" s="60" t="s">
        <v>92</v>
      </c>
      <c r="S589" s="60" t="s">
        <v>92</v>
      </c>
      <c r="T589" s="60" t="s">
        <v>94</v>
      </c>
      <c r="U589" s="60" t="s">
        <v>101</v>
      </c>
      <c r="V589" s="60" t="s">
        <v>92</v>
      </c>
      <c r="W589" s="60" t="s">
        <v>93</v>
      </c>
      <c r="X589" s="63" t="s">
        <v>102</v>
      </c>
    </row>
    <row r="590" spans="1:24">
      <c r="A590" s="60">
        <v>227</v>
      </c>
      <c r="B590" s="61" t="s">
        <v>621</v>
      </c>
      <c r="C590" s="62" t="s">
        <v>622</v>
      </c>
      <c r="D590" s="62" t="s">
        <v>522</v>
      </c>
      <c r="E590" s="60" t="s">
        <v>169</v>
      </c>
      <c r="F590" s="60" t="s">
        <v>87</v>
      </c>
      <c r="G590" s="60" t="s">
        <v>99</v>
      </c>
      <c r="H590" s="60" t="s">
        <v>100</v>
      </c>
      <c r="I590" s="60" t="s">
        <v>101</v>
      </c>
      <c r="J590" s="60" t="s">
        <v>2</v>
      </c>
      <c r="K590" s="60" t="s">
        <v>3</v>
      </c>
      <c r="L590" s="60">
        <v>177</v>
      </c>
      <c r="M590" s="60">
        <v>4</v>
      </c>
      <c r="N590" s="60">
        <v>11</v>
      </c>
      <c r="O590" s="60" t="s">
        <v>695</v>
      </c>
      <c r="P590" s="60" t="s">
        <v>545</v>
      </c>
      <c r="Q590" s="60" t="s">
        <v>22</v>
      </c>
      <c r="R590" s="60" t="s">
        <v>92</v>
      </c>
      <c r="S590" s="60" t="s">
        <v>3</v>
      </c>
      <c r="T590" s="60" t="s">
        <v>92</v>
      </c>
      <c r="U590" s="60" t="s">
        <v>90</v>
      </c>
      <c r="V590" s="60" t="s">
        <v>92</v>
      </c>
      <c r="W590" s="60" t="s">
        <v>90</v>
      </c>
      <c r="X590" s="63" t="s">
        <v>102</v>
      </c>
    </row>
    <row r="591" spans="1:24">
      <c r="A591" s="60">
        <v>1031</v>
      </c>
      <c r="B591" s="61" t="s">
        <v>1100</v>
      </c>
      <c r="C591" s="62" t="s">
        <v>1101</v>
      </c>
      <c r="D591" s="62" t="s">
        <v>1084</v>
      </c>
      <c r="E591" s="60" t="s">
        <v>127</v>
      </c>
      <c r="F591" s="60" t="s">
        <v>87</v>
      </c>
      <c r="G591" s="60" t="s">
        <v>142</v>
      </c>
      <c r="H591" s="60" t="s">
        <v>707</v>
      </c>
      <c r="I591" s="60" t="s">
        <v>101</v>
      </c>
      <c r="J591" s="60" t="s">
        <v>2</v>
      </c>
      <c r="K591" s="60" t="s">
        <v>2</v>
      </c>
      <c r="L591" s="60" t="s">
        <v>87</v>
      </c>
      <c r="M591" s="60">
        <v>17</v>
      </c>
      <c r="N591" s="60" t="s">
        <v>87</v>
      </c>
      <c r="O591" s="60">
        <v>4</v>
      </c>
      <c r="P591" s="60" t="s">
        <v>754</v>
      </c>
      <c r="Q591" s="60" t="s">
        <v>19</v>
      </c>
      <c r="R591" s="60" t="s">
        <v>92</v>
      </c>
      <c r="S591" s="60" t="s">
        <v>3</v>
      </c>
      <c r="T591" s="60" t="s">
        <v>94</v>
      </c>
      <c r="U591" s="60" t="s">
        <v>108</v>
      </c>
      <c r="V591" s="60" t="s">
        <v>94</v>
      </c>
      <c r="W591" s="60" t="s">
        <v>93</v>
      </c>
      <c r="X591" s="63" t="s">
        <v>102</v>
      </c>
    </row>
    <row r="592" spans="1:24">
      <c r="A592" s="60">
        <v>779</v>
      </c>
      <c r="B592" s="61" t="s">
        <v>1102</v>
      </c>
      <c r="C592" s="62" t="s">
        <v>1103</v>
      </c>
      <c r="D592" s="62" t="s">
        <v>1104</v>
      </c>
      <c r="E592" s="60" t="s">
        <v>194</v>
      </c>
      <c r="F592" s="60" t="s">
        <v>87</v>
      </c>
      <c r="G592" s="60" t="s">
        <v>164</v>
      </c>
      <c r="H592" s="60" t="s">
        <v>707</v>
      </c>
      <c r="I592" s="60" t="s">
        <v>90</v>
      </c>
      <c r="J592" s="60" t="s">
        <v>3</v>
      </c>
      <c r="K592" s="60" t="s">
        <v>2</v>
      </c>
      <c r="L592" s="60" t="s">
        <v>87</v>
      </c>
      <c r="M592" s="60">
        <v>31</v>
      </c>
      <c r="N592" s="60" t="s">
        <v>87</v>
      </c>
      <c r="O592" s="60">
        <v>13</v>
      </c>
      <c r="P592" s="60" t="s">
        <v>718</v>
      </c>
      <c r="Q592" s="60" t="s">
        <v>92</v>
      </c>
      <c r="R592" s="60" t="s">
        <v>92</v>
      </c>
      <c r="S592" s="60" t="s">
        <v>92</v>
      </c>
      <c r="T592" s="60" t="s">
        <v>94</v>
      </c>
      <c r="U592" s="60" t="s">
        <v>101</v>
      </c>
      <c r="V592" s="60" t="s">
        <v>92</v>
      </c>
      <c r="W592" s="60" t="s">
        <v>93</v>
      </c>
      <c r="X592" s="63" t="s">
        <v>95</v>
      </c>
    </row>
    <row r="593" spans="1:24">
      <c r="A593" s="60">
        <v>418</v>
      </c>
      <c r="B593" s="61" t="s">
        <v>1105</v>
      </c>
      <c r="C593" s="62" t="s">
        <v>1106</v>
      </c>
      <c r="D593" s="62" t="s">
        <v>594</v>
      </c>
      <c r="E593" s="60" t="s">
        <v>249</v>
      </c>
      <c r="F593" s="60" t="s">
        <v>87</v>
      </c>
      <c r="G593" s="60" t="s">
        <v>164</v>
      </c>
      <c r="H593" s="60" t="s">
        <v>707</v>
      </c>
      <c r="I593" s="60" t="s">
        <v>101</v>
      </c>
      <c r="J593" s="60" t="s">
        <v>2</v>
      </c>
      <c r="K593" s="60" t="s">
        <v>2</v>
      </c>
      <c r="L593" s="60" t="s">
        <v>87</v>
      </c>
      <c r="M593" s="60">
        <v>39</v>
      </c>
      <c r="N593" s="60" t="s">
        <v>87</v>
      </c>
      <c r="O593" s="60">
        <v>5</v>
      </c>
      <c r="P593" s="60" t="s">
        <v>708</v>
      </c>
      <c r="Q593" s="60" t="s">
        <v>22</v>
      </c>
      <c r="R593" s="60" t="s">
        <v>21</v>
      </c>
      <c r="S593" s="60" t="s">
        <v>3</v>
      </c>
      <c r="T593" s="60" t="s">
        <v>94</v>
      </c>
      <c r="U593" s="60" t="s">
        <v>101</v>
      </c>
      <c r="V593" s="60" t="s">
        <v>92</v>
      </c>
      <c r="W593" s="60" t="s">
        <v>93</v>
      </c>
      <c r="X593" s="63" t="s">
        <v>102</v>
      </c>
    </row>
    <row r="594" spans="1:24">
      <c r="A594" s="60">
        <v>886</v>
      </c>
      <c r="B594" s="61" t="s">
        <v>623</v>
      </c>
      <c r="C594" s="62" t="s">
        <v>624</v>
      </c>
      <c r="D594" s="62" t="s">
        <v>625</v>
      </c>
      <c r="E594" s="60" t="s">
        <v>266</v>
      </c>
      <c r="F594" s="60" t="s">
        <v>87</v>
      </c>
      <c r="G594" s="60" t="s">
        <v>88</v>
      </c>
      <c r="H594" s="60" t="s">
        <v>100</v>
      </c>
      <c r="I594" s="60" t="s">
        <v>101</v>
      </c>
      <c r="J594" s="60" t="s">
        <v>2</v>
      </c>
      <c r="K594" s="60" t="s">
        <v>2</v>
      </c>
      <c r="L594" s="60">
        <v>229</v>
      </c>
      <c r="M594" s="60" t="s">
        <v>87</v>
      </c>
      <c r="N594" s="60">
        <v>13</v>
      </c>
      <c r="O594" s="60" t="s">
        <v>87</v>
      </c>
      <c r="P594" s="60">
        <v>13</v>
      </c>
      <c r="Q594" s="60" t="s">
        <v>24</v>
      </c>
      <c r="R594" s="60" t="s">
        <v>20</v>
      </c>
      <c r="S594" s="60" t="s">
        <v>92</v>
      </c>
      <c r="T594" s="60" t="s">
        <v>92</v>
      </c>
      <c r="U594" s="60" t="s">
        <v>108</v>
      </c>
      <c r="V594" s="60" t="s">
        <v>92</v>
      </c>
      <c r="W594" s="60" t="s">
        <v>90</v>
      </c>
      <c r="X594" s="63" t="s">
        <v>102</v>
      </c>
    </row>
    <row r="595" spans="1:24">
      <c r="A595" s="60">
        <v>1151</v>
      </c>
      <c r="B595" s="61" t="s">
        <v>1245</v>
      </c>
      <c r="C595" s="62" t="s">
        <v>1246</v>
      </c>
      <c r="D595" s="62" t="s">
        <v>308</v>
      </c>
      <c r="E595" s="60" t="s">
        <v>141</v>
      </c>
      <c r="F595" s="60" t="s">
        <v>170</v>
      </c>
      <c r="G595" s="60" t="s">
        <v>182</v>
      </c>
      <c r="H595" s="60" t="s">
        <v>707</v>
      </c>
      <c r="I595" s="60" t="s">
        <v>101</v>
      </c>
      <c r="J595" s="60" t="s">
        <v>2</v>
      </c>
      <c r="K595" s="60" t="s">
        <v>2</v>
      </c>
      <c r="L595" s="60" t="s">
        <v>87</v>
      </c>
      <c r="M595" s="60">
        <v>100</v>
      </c>
      <c r="N595" s="60" t="s">
        <v>87</v>
      </c>
      <c r="O595" s="60">
        <v>1</v>
      </c>
      <c r="P595" s="60" t="s">
        <v>729</v>
      </c>
      <c r="Q595" s="60" t="s">
        <v>92</v>
      </c>
      <c r="R595" s="60" t="s">
        <v>92</v>
      </c>
      <c r="S595" s="60" t="s">
        <v>38</v>
      </c>
      <c r="T595" s="60" t="s">
        <v>94</v>
      </c>
      <c r="U595" s="60" t="s">
        <v>90</v>
      </c>
      <c r="V595" s="60" t="s">
        <v>94</v>
      </c>
      <c r="W595" s="60" t="s">
        <v>101</v>
      </c>
      <c r="X595" s="63" t="s">
        <v>102</v>
      </c>
    </row>
    <row r="596" spans="1:24">
      <c r="A596" s="60">
        <v>1126</v>
      </c>
      <c r="B596" s="61" t="s">
        <v>1850</v>
      </c>
      <c r="C596" s="62" t="s">
        <v>1851</v>
      </c>
      <c r="D596" s="62" t="s">
        <v>193</v>
      </c>
      <c r="E596" s="60" t="s">
        <v>197</v>
      </c>
      <c r="F596" s="60" t="s">
        <v>87</v>
      </c>
      <c r="G596" s="60" t="s">
        <v>150</v>
      </c>
      <c r="H596" s="60" t="s">
        <v>707</v>
      </c>
      <c r="I596" s="60" t="s">
        <v>90</v>
      </c>
      <c r="J596" s="60" t="s">
        <v>2</v>
      </c>
      <c r="K596" s="60" t="s">
        <v>2</v>
      </c>
      <c r="L596" s="60" t="s">
        <v>87</v>
      </c>
      <c r="M596" s="60">
        <v>9</v>
      </c>
      <c r="N596" s="60" t="s">
        <v>87</v>
      </c>
      <c r="O596" s="60">
        <v>3</v>
      </c>
      <c r="P596" s="60" t="s">
        <v>727</v>
      </c>
      <c r="Q596" s="60" t="s">
        <v>92</v>
      </c>
      <c r="R596" s="60" t="s">
        <v>92</v>
      </c>
      <c r="S596" s="60" t="s">
        <v>3</v>
      </c>
      <c r="T596" s="60" t="s">
        <v>94</v>
      </c>
      <c r="U596" s="60" t="s">
        <v>90</v>
      </c>
      <c r="V596" s="60" t="s">
        <v>94</v>
      </c>
      <c r="W596" s="60" t="s">
        <v>90</v>
      </c>
      <c r="X596" s="63" t="s">
        <v>95</v>
      </c>
    </row>
    <row r="597" spans="1:24">
      <c r="A597" s="60">
        <v>449</v>
      </c>
      <c r="B597" s="61" t="s">
        <v>1420</v>
      </c>
      <c r="C597" s="62" t="s">
        <v>1421</v>
      </c>
      <c r="D597" s="62" t="s">
        <v>1422</v>
      </c>
      <c r="E597" s="60" t="s">
        <v>186</v>
      </c>
      <c r="F597" s="60" t="s">
        <v>87</v>
      </c>
      <c r="G597" s="60" t="s">
        <v>182</v>
      </c>
      <c r="H597" s="60" t="s">
        <v>707</v>
      </c>
      <c r="I597" s="60" t="s">
        <v>90</v>
      </c>
      <c r="J597" s="60" t="s">
        <v>2</v>
      </c>
      <c r="K597" s="60" t="s">
        <v>2</v>
      </c>
      <c r="L597" s="60" t="s">
        <v>87</v>
      </c>
      <c r="M597" s="60">
        <v>43</v>
      </c>
      <c r="N597" s="60" t="s">
        <v>87</v>
      </c>
      <c r="O597" s="60">
        <v>9</v>
      </c>
      <c r="P597" s="60" t="s">
        <v>744</v>
      </c>
      <c r="Q597" s="60" t="s">
        <v>92</v>
      </c>
      <c r="R597" s="60" t="s">
        <v>92</v>
      </c>
      <c r="S597" s="60" t="s">
        <v>3</v>
      </c>
      <c r="T597" s="60" t="s">
        <v>94</v>
      </c>
      <c r="U597" s="60" t="s">
        <v>108</v>
      </c>
      <c r="V597" s="60" t="s">
        <v>92</v>
      </c>
      <c r="W597" s="60" t="s">
        <v>93</v>
      </c>
      <c r="X597" s="63" t="s">
        <v>95</v>
      </c>
    </row>
    <row r="598" spans="1:24">
      <c r="A598" s="60">
        <v>325</v>
      </c>
      <c r="B598" s="61" t="s">
        <v>1107</v>
      </c>
      <c r="C598" s="62" t="s">
        <v>1108</v>
      </c>
      <c r="D598" s="62" t="s">
        <v>1070</v>
      </c>
      <c r="E598" s="60" t="s">
        <v>50</v>
      </c>
      <c r="F598" s="60" t="s">
        <v>87</v>
      </c>
      <c r="G598" s="60" t="s">
        <v>182</v>
      </c>
      <c r="H598" s="60" t="s">
        <v>707</v>
      </c>
      <c r="I598" s="60" t="s">
        <v>101</v>
      </c>
      <c r="J598" s="60" t="s">
        <v>2</v>
      </c>
      <c r="K598" s="60" t="s">
        <v>2</v>
      </c>
      <c r="L598" s="60" t="s">
        <v>87</v>
      </c>
      <c r="M598" s="60">
        <v>60</v>
      </c>
      <c r="N598" s="60" t="s">
        <v>87</v>
      </c>
      <c r="O598" s="60">
        <v>8</v>
      </c>
      <c r="P598" s="60" t="s">
        <v>714</v>
      </c>
      <c r="Q598" s="60" t="s">
        <v>24</v>
      </c>
      <c r="R598" s="60" t="s">
        <v>20</v>
      </c>
      <c r="S598" s="60" t="s">
        <v>38</v>
      </c>
      <c r="T598" s="60" t="s">
        <v>94</v>
      </c>
      <c r="U598" s="60" t="s">
        <v>101</v>
      </c>
      <c r="V598" s="60" t="s">
        <v>92</v>
      </c>
      <c r="W598" s="60" t="s">
        <v>90</v>
      </c>
      <c r="X598" s="63" t="s">
        <v>102</v>
      </c>
    </row>
    <row r="599" spans="1:24">
      <c r="A599" s="60">
        <v>292</v>
      </c>
      <c r="B599" s="61" t="s">
        <v>1852</v>
      </c>
      <c r="C599" s="62" t="s">
        <v>1853</v>
      </c>
      <c r="D599" s="62" t="s">
        <v>494</v>
      </c>
      <c r="E599" s="60" t="s">
        <v>408</v>
      </c>
      <c r="F599" s="60" t="s">
        <v>87</v>
      </c>
      <c r="G599" s="60" t="s">
        <v>398</v>
      </c>
      <c r="H599" s="60" t="s">
        <v>100</v>
      </c>
      <c r="I599" s="60" t="s">
        <v>90</v>
      </c>
      <c r="J599" s="60" t="s">
        <v>2</v>
      </c>
      <c r="K599" s="60" t="s">
        <v>2</v>
      </c>
      <c r="L599" s="60">
        <v>63</v>
      </c>
      <c r="M599" s="60" t="s">
        <v>87</v>
      </c>
      <c r="N599" s="60">
        <v>12</v>
      </c>
      <c r="O599" s="60" t="s">
        <v>87</v>
      </c>
      <c r="P599" s="60">
        <v>12</v>
      </c>
      <c r="Q599" s="60" t="s">
        <v>22</v>
      </c>
      <c r="R599" s="60" t="s">
        <v>92</v>
      </c>
      <c r="S599" s="60" t="s">
        <v>3</v>
      </c>
      <c r="T599" s="60" t="s">
        <v>92</v>
      </c>
      <c r="U599" s="60" t="s">
        <v>101</v>
      </c>
      <c r="V599" s="60" t="s">
        <v>92</v>
      </c>
      <c r="W599" s="60" t="s">
        <v>101</v>
      </c>
      <c r="X599" s="63" t="s">
        <v>95</v>
      </c>
    </row>
    <row r="600" spans="1:24">
      <c r="A600" s="60">
        <v>112</v>
      </c>
      <c r="B600" s="61" t="s">
        <v>1109</v>
      </c>
      <c r="C600" s="62" t="s">
        <v>1110</v>
      </c>
      <c r="D600" s="62" t="s">
        <v>1015</v>
      </c>
      <c r="E600" s="60" t="s">
        <v>146</v>
      </c>
      <c r="F600" s="60" t="s">
        <v>87</v>
      </c>
      <c r="G600" s="60" t="s">
        <v>99</v>
      </c>
      <c r="H600" s="60" t="s">
        <v>707</v>
      </c>
      <c r="I600" s="60" t="s">
        <v>101</v>
      </c>
      <c r="J600" s="60" t="s">
        <v>71</v>
      </c>
      <c r="K600" s="60" t="s">
        <v>2</v>
      </c>
      <c r="L600" s="60" t="s">
        <v>87</v>
      </c>
      <c r="M600" s="60">
        <v>64</v>
      </c>
      <c r="N600" s="60" t="s">
        <v>87</v>
      </c>
      <c r="O600" s="60">
        <v>14</v>
      </c>
      <c r="P600" s="60" t="s">
        <v>794</v>
      </c>
      <c r="Q600" s="60" t="s">
        <v>22</v>
      </c>
      <c r="R600" s="60" t="s">
        <v>92</v>
      </c>
      <c r="S600" s="60" t="s">
        <v>92</v>
      </c>
      <c r="T600" s="60" t="s">
        <v>94</v>
      </c>
      <c r="U600" s="60" t="s">
        <v>108</v>
      </c>
      <c r="V600" s="60" t="s">
        <v>92</v>
      </c>
      <c r="W600" s="60" t="s">
        <v>93</v>
      </c>
      <c r="X600" s="63" t="s">
        <v>102</v>
      </c>
    </row>
    <row r="601" spans="1:24">
      <c r="A601" s="60">
        <v>826</v>
      </c>
      <c r="B601" s="61" t="s">
        <v>626</v>
      </c>
      <c r="C601" s="62" t="s">
        <v>627</v>
      </c>
      <c r="D601" s="62" t="s">
        <v>487</v>
      </c>
      <c r="E601" s="60" t="s">
        <v>209</v>
      </c>
      <c r="F601" s="60" t="s">
        <v>87</v>
      </c>
      <c r="G601" s="60" t="s">
        <v>155</v>
      </c>
      <c r="H601" s="60" t="s">
        <v>100</v>
      </c>
      <c r="I601" s="60" t="s">
        <v>90</v>
      </c>
      <c r="J601" s="60" t="s">
        <v>2</v>
      </c>
      <c r="K601" s="60" t="s">
        <v>2</v>
      </c>
      <c r="L601" s="60">
        <v>203</v>
      </c>
      <c r="M601" s="60" t="s">
        <v>87</v>
      </c>
      <c r="N601" s="60">
        <v>9</v>
      </c>
      <c r="O601" s="60" t="s">
        <v>87</v>
      </c>
      <c r="P601" s="60">
        <v>9</v>
      </c>
      <c r="Q601" s="60" t="s">
        <v>19</v>
      </c>
      <c r="R601" s="60" t="s">
        <v>92</v>
      </c>
      <c r="S601" s="60" t="s">
        <v>3</v>
      </c>
      <c r="T601" s="60" t="s">
        <v>92</v>
      </c>
      <c r="U601" s="60" t="s">
        <v>108</v>
      </c>
      <c r="V601" s="60" t="s">
        <v>92</v>
      </c>
      <c r="W601" s="60" t="s">
        <v>90</v>
      </c>
      <c r="X601" s="63" t="s">
        <v>95</v>
      </c>
    </row>
    <row r="602" spans="1:24">
      <c r="A602" s="60">
        <v>229</v>
      </c>
      <c r="B602" s="61" t="s">
        <v>628</v>
      </c>
      <c r="C602" s="62" t="s">
        <v>629</v>
      </c>
      <c r="D602" s="62" t="s">
        <v>201</v>
      </c>
      <c r="E602" s="60" t="s">
        <v>169</v>
      </c>
      <c r="F602" s="60" t="s">
        <v>87</v>
      </c>
      <c r="G602" s="60" t="s">
        <v>164</v>
      </c>
      <c r="H602" s="60" t="s">
        <v>100</v>
      </c>
      <c r="I602" s="60" t="s">
        <v>90</v>
      </c>
      <c r="J602" s="60" t="s">
        <v>2</v>
      </c>
      <c r="K602" s="60" t="s">
        <v>2</v>
      </c>
      <c r="L602" s="60">
        <v>135</v>
      </c>
      <c r="M602" s="60">
        <v>1</v>
      </c>
      <c r="N602" s="60">
        <v>4</v>
      </c>
      <c r="O602" s="60" t="s">
        <v>118</v>
      </c>
      <c r="P602" s="60" t="s">
        <v>174</v>
      </c>
      <c r="Q602" s="60" t="s">
        <v>22</v>
      </c>
      <c r="R602" s="60" t="s">
        <v>20</v>
      </c>
      <c r="S602" s="60" t="s">
        <v>3</v>
      </c>
      <c r="T602" s="60" t="s">
        <v>94</v>
      </c>
      <c r="U602" s="60" t="s">
        <v>101</v>
      </c>
      <c r="V602" s="60" t="s">
        <v>92</v>
      </c>
      <c r="W602" s="60" t="s">
        <v>90</v>
      </c>
      <c r="X602" s="63" t="s">
        <v>95</v>
      </c>
    </row>
    <row r="603" spans="1:24">
      <c r="A603" s="60">
        <v>296</v>
      </c>
      <c r="B603" s="61" t="s">
        <v>1423</v>
      </c>
      <c r="C603" s="62" t="s">
        <v>1424</v>
      </c>
      <c r="D603" s="62" t="s">
        <v>1425</v>
      </c>
      <c r="E603" s="60" t="s">
        <v>408</v>
      </c>
      <c r="F603" s="60" t="s">
        <v>87</v>
      </c>
      <c r="G603" s="60" t="s">
        <v>112</v>
      </c>
      <c r="H603" s="60" t="s">
        <v>707</v>
      </c>
      <c r="I603" s="60" t="s">
        <v>101</v>
      </c>
      <c r="J603" s="60" t="s">
        <v>3</v>
      </c>
      <c r="K603" s="60" t="s">
        <v>3</v>
      </c>
      <c r="L603" s="60" t="s">
        <v>87</v>
      </c>
      <c r="M603" s="60">
        <v>59</v>
      </c>
      <c r="N603" s="60" t="s">
        <v>87</v>
      </c>
      <c r="O603" s="60">
        <v>15</v>
      </c>
      <c r="P603" s="60" t="s">
        <v>836</v>
      </c>
      <c r="Q603" s="60" t="s">
        <v>19</v>
      </c>
      <c r="R603" s="60" t="s">
        <v>21</v>
      </c>
      <c r="S603" s="60" t="s">
        <v>3</v>
      </c>
      <c r="T603" s="60" t="s">
        <v>94</v>
      </c>
      <c r="U603" s="60" t="s">
        <v>108</v>
      </c>
      <c r="V603" s="60" t="s">
        <v>92</v>
      </c>
      <c r="W603" s="60" t="s">
        <v>101</v>
      </c>
      <c r="X603" s="63" t="s">
        <v>102</v>
      </c>
    </row>
    <row r="604" spans="1:24">
      <c r="A604" s="60">
        <v>802</v>
      </c>
      <c r="B604" s="61" t="s">
        <v>1111</v>
      </c>
      <c r="C604" s="62" t="s">
        <v>1112</v>
      </c>
      <c r="D604" s="62" t="s">
        <v>238</v>
      </c>
      <c r="E604" s="60" t="s">
        <v>318</v>
      </c>
      <c r="F604" s="60" t="s">
        <v>87</v>
      </c>
      <c r="G604" s="60" t="s">
        <v>117</v>
      </c>
      <c r="H604" s="60" t="s">
        <v>707</v>
      </c>
      <c r="I604" s="60" t="s">
        <v>90</v>
      </c>
      <c r="J604" s="60" t="s">
        <v>3</v>
      </c>
      <c r="K604" s="60" t="s">
        <v>3</v>
      </c>
      <c r="L604" s="60" t="s">
        <v>87</v>
      </c>
      <c r="M604" s="60">
        <v>75</v>
      </c>
      <c r="N604" s="60" t="s">
        <v>87</v>
      </c>
      <c r="O604" s="60">
        <v>19</v>
      </c>
      <c r="P604" s="60" t="s">
        <v>770</v>
      </c>
      <c r="Q604" s="60" t="s">
        <v>24</v>
      </c>
      <c r="R604" s="60" t="s">
        <v>21</v>
      </c>
      <c r="S604" s="60" t="s">
        <v>37</v>
      </c>
      <c r="T604" s="60" t="s">
        <v>94</v>
      </c>
      <c r="U604" s="60" t="s">
        <v>93</v>
      </c>
      <c r="V604" s="60" t="s">
        <v>92</v>
      </c>
      <c r="W604" s="60" t="s">
        <v>90</v>
      </c>
      <c r="X604" s="63" t="s">
        <v>95</v>
      </c>
    </row>
    <row r="605" spans="1:24">
      <c r="A605" s="60">
        <v>135</v>
      </c>
      <c r="B605" s="61" t="s">
        <v>1113</v>
      </c>
      <c r="C605" s="62" t="s">
        <v>1114</v>
      </c>
      <c r="D605" s="62" t="s">
        <v>85</v>
      </c>
      <c r="E605" s="60" t="s">
        <v>111</v>
      </c>
      <c r="F605" s="60" t="s">
        <v>87</v>
      </c>
      <c r="G605" s="60" t="s">
        <v>158</v>
      </c>
      <c r="H605" s="60" t="s">
        <v>100</v>
      </c>
      <c r="I605" s="60" t="s">
        <v>101</v>
      </c>
      <c r="J605" s="60" t="s">
        <v>2</v>
      </c>
      <c r="K605" s="60" t="s">
        <v>2</v>
      </c>
      <c r="L605" s="60">
        <v>187</v>
      </c>
      <c r="M605" s="60" t="s">
        <v>87</v>
      </c>
      <c r="N605" s="60">
        <v>5</v>
      </c>
      <c r="O605" s="60" t="s">
        <v>87</v>
      </c>
      <c r="P605" s="60">
        <v>5</v>
      </c>
      <c r="Q605" s="60" t="s">
        <v>92</v>
      </c>
      <c r="R605" s="60" t="s">
        <v>92</v>
      </c>
      <c r="S605" s="60" t="s">
        <v>92</v>
      </c>
      <c r="T605" s="60" t="s">
        <v>94</v>
      </c>
      <c r="U605" s="60" t="s">
        <v>108</v>
      </c>
      <c r="V605" s="60" t="s">
        <v>92</v>
      </c>
      <c r="W605" s="60" t="s">
        <v>93</v>
      </c>
      <c r="X605" s="63" t="s">
        <v>102</v>
      </c>
    </row>
    <row r="606" spans="1:24">
      <c r="A606" s="60">
        <v>178</v>
      </c>
      <c r="B606" s="61" t="s">
        <v>1115</v>
      </c>
      <c r="C606" s="62" t="s">
        <v>1116</v>
      </c>
      <c r="D606" s="62" t="s">
        <v>224</v>
      </c>
      <c r="E606" s="60" t="s">
        <v>157</v>
      </c>
      <c r="F606" s="60" t="s">
        <v>87</v>
      </c>
      <c r="G606" s="60" t="s">
        <v>142</v>
      </c>
      <c r="H606" s="60" t="s">
        <v>707</v>
      </c>
      <c r="I606" s="60" t="s">
        <v>101</v>
      </c>
      <c r="J606" s="60" t="s">
        <v>3</v>
      </c>
      <c r="K606" s="60" t="s">
        <v>3</v>
      </c>
      <c r="L606" s="60" t="s">
        <v>87</v>
      </c>
      <c r="M606" s="60">
        <v>55</v>
      </c>
      <c r="N606" s="60" t="s">
        <v>87</v>
      </c>
      <c r="O606" s="60">
        <v>19</v>
      </c>
      <c r="P606" s="60" t="s">
        <v>770</v>
      </c>
      <c r="Q606" s="60" t="s">
        <v>24</v>
      </c>
      <c r="R606" s="60" t="s">
        <v>92</v>
      </c>
      <c r="S606" s="60" t="s">
        <v>92</v>
      </c>
      <c r="T606" s="60" t="s">
        <v>94</v>
      </c>
      <c r="U606" s="60" t="s">
        <v>108</v>
      </c>
      <c r="V606" s="60" t="s">
        <v>92</v>
      </c>
      <c r="W606" s="60" t="s">
        <v>101</v>
      </c>
      <c r="X606" s="63" t="s">
        <v>102</v>
      </c>
    </row>
    <row r="607" spans="1:24">
      <c r="A607" s="60">
        <v>352</v>
      </c>
      <c r="B607" s="61" t="s">
        <v>1426</v>
      </c>
      <c r="C607" s="62" t="s">
        <v>630</v>
      </c>
      <c r="D607" s="62" t="s">
        <v>1427</v>
      </c>
      <c r="E607" s="60" t="s">
        <v>152</v>
      </c>
      <c r="F607" s="60" t="s">
        <v>87</v>
      </c>
      <c r="G607" s="60" t="s">
        <v>117</v>
      </c>
      <c r="H607" s="60" t="s">
        <v>707</v>
      </c>
      <c r="I607" s="60" t="s">
        <v>90</v>
      </c>
      <c r="J607" s="60" t="s">
        <v>2</v>
      </c>
      <c r="K607" s="60" t="s">
        <v>2</v>
      </c>
      <c r="L607" s="60" t="s">
        <v>87</v>
      </c>
      <c r="M607" s="60">
        <v>70</v>
      </c>
      <c r="N607" s="60" t="s">
        <v>87</v>
      </c>
      <c r="O607" s="60">
        <v>18</v>
      </c>
      <c r="P607" s="60" t="s">
        <v>758</v>
      </c>
      <c r="Q607" s="60" t="s">
        <v>24</v>
      </c>
      <c r="R607" s="60" t="s">
        <v>92</v>
      </c>
      <c r="S607" s="60" t="s">
        <v>23</v>
      </c>
      <c r="T607" s="60" t="s">
        <v>94</v>
      </c>
      <c r="U607" s="60" t="s">
        <v>108</v>
      </c>
      <c r="V607" s="60" t="s">
        <v>92</v>
      </c>
      <c r="W607" s="60" t="s">
        <v>93</v>
      </c>
      <c r="X607" s="63" t="s">
        <v>95</v>
      </c>
    </row>
    <row r="608" spans="1:24">
      <c r="A608" s="60">
        <v>1045</v>
      </c>
      <c r="B608" s="61" t="s">
        <v>1428</v>
      </c>
      <c r="C608" s="62" t="s">
        <v>630</v>
      </c>
      <c r="D608" s="62" t="s">
        <v>162</v>
      </c>
      <c r="E608" s="60" t="s">
        <v>50</v>
      </c>
      <c r="F608" s="60" t="s">
        <v>170</v>
      </c>
      <c r="G608" s="60" t="s">
        <v>117</v>
      </c>
      <c r="H608" s="60" t="s">
        <v>707</v>
      </c>
      <c r="I608" s="60" t="s">
        <v>90</v>
      </c>
      <c r="J608" s="60" t="s">
        <v>2</v>
      </c>
      <c r="K608" s="60" t="s">
        <v>2</v>
      </c>
      <c r="L608" s="60" t="s">
        <v>87</v>
      </c>
      <c r="M608" s="60">
        <v>100</v>
      </c>
      <c r="N608" s="60" t="s">
        <v>87</v>
      </c>
      <c r="O608" s="60">
        <v>1</v>
      </c>
      <c r="P608" s="60" t="s">
        <v>729</v>
      </c>
      <c r="Q608" s="60" t="s">
        <v>92</v>
      </c>
      <c r="R608" s="60" t="s">
        <v>21</v>
      </c>
      <c r="S608" s="60" t="s">
        <v>92</v>
      </c>
      <c r="T608" s="60" t="s">
        <v>92</v>
      </c>
      <c r="U608" s="60" t="s">
        <v>108</v>
      </c>
      <c r="V608" s="60" t="s">
        <v>92</v>
      </c>
      <c r="W608" s="60" t="s">
        <v>93</v>
      </c>
      <c r="X608" s="63" t="s">
        <v>95</v>
      </c>
    </row>
    <row r="609" spans="1:24">
      <c r="A609" s="60">
        <v>234</v>
      </c>
      <c r="B609" s="61" t="s">
        <v>1117</v>
      </c>
      <c r="C609" s="62" t="s">
        <v>630</v>
      </c>
      <c r="D609" s="62" t="s">
        <v>168</v>
      </c>
      <c r="E609" s="60" t="s">
        <v>169</v>
      </c>
      <c r="F609" s="60" t="s">
        <v>87</v>
      </c>
      <c r="G609" s="60" t="s">
        <v>142</v>
      </c>
      <c r="H609" s="60" t="s">
        <v>707</v>
      </c>
      <c r="I609" s="60" t="s">
        <v>90</v>
      </c>
      <c r="J609" s="60" t="s">
        <v>2</v>
      </c>
      <c r="K609" s="60" t="s">
        <v>2</v>
      </c>
      <c r="L609" s="60" t="s">
        <v>87</v>
      </c>
      <c r="M609" s="60">
        <v>66</v>
      </c>
      <c r="N609" s="60" t="s">
        <v>87</v>
      </c>
      <c r="O609" s="60">
        <v>9</v>
      </c>
      <c r="P609" s="60" t="s">
        <v>744</v>
      </c>
      <c r="Q609" s="60" t="s">
        <v>22</v>
      </c>
      <c r="R609" s="60" t="s">
        <v>20</v>
      </c>
      <c r="S609" s="60" t="s">
        <v>37</v>
      </c>
      <c r="T609" s="60" t="s">
        <v>94</v>
      </c>
      <c r="U609" s="60" t="s">
        <v>90</v>
      </c>
      <c r="V609" s="60" t="s">
        <v>92</v>
      </c>
      <c r="W609" s="60" t="s">
        <v>101</v>
      </c>
      <c r="X609" s="63" t="s">
        <v>95</v>
      </c>
    </row>
    <row r="610" spans="1:24">
      <c r="A610" s="60">
        <v>1178</v>
      </c>
      <c r="B610" s="61" t="s">
        <v>1854</v>
      </c>
      <c r="C610" s="62" t="s">
        <v>630</v>
      </c>
      <c r="D610" s="62" t="s">
        <v>153</v>
      </c>
      <c r="E610" s="60" t="s">
        <v>128</v>
      </c>
      <c r="F610" s="60" t="s">
        <v>170</v>
      </c>
      <c r="G610" s="60" t="s">
        <v>99</v>
      </c>
      <c r="H610" s="60" t="s">
        <v>100</v>
      </c>
      <c r="I610" s="60" t="s">
        <v>90</v>
      </c>
      <c r="J610" s="60" t="s">
        <v>2</v>
      </c>
      <c r="K610" s="60" t="s">
        <v>2</v>
      </c>
      <c r="L610" s="60">
        <v>200</v>
      </c>
      <c r="M610" s="60">
        <v>100</v>
      </c>
      <c r="N610" s="60">
        <v>2</v>
      </c>
      <c r="O610" s="60">
        <v>1</v>
      </c>
      <c r="P610" s="60" t="s">
        <v>172</v>
      </c>
      <c r="Q610" s="60" t="s">
        <v>22</v>
      </c>
      <c r="R610" s="60" t="s">
        <v>21</v>
      </c>
      <c r="S610" s="60" t="s">
        <v>92</v>
      </c>
      <c r="T610" s="60" t="s">
        <v>94</v>
      </c>
      <c r="U610" s="60" t="s">
        <v>93</v>
      </c>
      <c r="V610" s="60" t="s">
        <v>92</v>
      </c>
      <c r="W610" s="60" t="s">
        <v>93</v>
      </c>
      <c r="X610" s="63" t="s">
        <v>95</v>
      </c>
    </row>
    <row r="611" spans="1:24">
      <c r="A611" s="60">
        <v>683</v>
      </c>
      <c r="B611" s="61" t="s">
        <v>631</v>
      </c>
      <c r="C611" s="62" t="s">
        <v>630</v>
      </c>
      <c r="D611" s="62" t="s">
        <v>632</v>
      </c>
      <c r="E611" s="60" t="s">
        <v>42</v>
      </c>
      <c r="F611" s="60" t="s">
        <v>87</v>
      </c>
      <c r="G611" s="60" t="s">
        <v>117</v>
      </c>
      <c r="H611" s="60" t="s">
        <v>707</v>
      </c>
      <c r="I611" s="60" t="s">
        <v>90</v>
      </c>
      <c r="J611" s="60" t="s">
        <v>2</v>
      </c>
      <c r="K611" s="60" t="s">
        <v>3</v>
      </c>
      <c r="L611" s="60" t="s">
        <v>87</v>
      </c>
      <c r="M611" s="60">
        <v>64</v>
      </c>
      <c r="N611" s="60" t="s">
        <v>87</v>
      </c>
      <c r="O611" s="60">
        <v>14</v>
      </c>
      <c r="P611" s="60" t="s">
        <v>794</v>
      </c>
      <c r="Q611" s="60" t="s">
        <v>24</v>
      </c>
      <c r="R611" s="60" t="s">
        <v>92</v>
      </c>
      <c r="S611" s="60" t="s">
        <v>92</v>
      </c>
      <c r="T611" s="60" t="s">
        <v>94</v>
      </c>
      <c r="U611" s="60" t="s">
        <v>108</v>
      </c>
      <c r="V611" s="60" t="s">
        <v>92</v>
      </c>
      <c r="W611" s="60" t="s">
        <v>93</v>
      </c>
      <c r="X611" s="63" t="s">
        <v>95</v>
      </c>
    </row>
    <row r="612" spans="1:24">
      <c r="A612" s="60">
        <v>380</v>
      </c>
      <c r="B612" s="61" t="s">
        <v>1118</v>
      </c>
      <c r="C612" s="62" t="s">
        <v>1119</v>
      </c>
      <c r="D612" s="62" t="s">
        <v>571</v>
      </c>
      <c r="E612" s="60" t="s">
        <v>123</v>
      </c>
      <c r="F612" s="60" t="s">
        <v>87</v>
      </c>
      <c r="G612" s="60" t="s">
        <v>150</v>
      </c>
      <c r="H612" s="60" t="s">
        <v>100</v>
      </c>
      <c r="I612" s="60" t="s">
        <v>90</v>
      </c>
      <c r="J612" s="60" t="s">
        <v>3</v>
      </c>
      <c r="K612" s="60" t="s">
        <v>3</v>
      </c>
      <c r="L612" s="60">
        <v>67</v>
      </c>
      <c r="M612" s="60" t="s">
        <v>87</v>
      </c>
      <c r="N612" s="60">
        <v>11</v>
      </c>
      <c r="O612" s="60" t="s">
        <v>87</v>
      </c>
      <c r="P612" s="60">
        <v>11</v>
      </c>
      <c r="Q612" s="60" t="s">
        <v>24</v>
      </c>
      <c r="R612" s="60" t="s">
        <v>92</v>
      </c>
      <c r="S612" s="60" t="s">
        <v>3</v>
      </c>
      <c r="T612" s="60" t="s">
        <v>94</v>
      </c>
      <c r="U612" s="60" t="s">
        <v>101</v>
      </c>
      <c r="V612" s="60" t="s">
        <v>92</v>
      </c>
      <c r="W612" s="60" t="s">
        <v>90</v>
      </c>
      <c r="X612" s="63" t="s">
        <v>95</v>
      </c>
    </row>
    <row r="613" spans="1:24">
      <c r="A613" s="60">
        <v>810</v>
      </c>
      <c r="B613" s="61" t="s">
        <v>1855</v>
      </c>
      <c r="C613" s="62" t="s">
        <v>1856</v>
      </c>
      <c r="D613" s="62" t="s">
        <v>339</v>
      </c>
      <c r="E613" s="60" t="s">
        <v>318</v>
      </c>
      <c r="F613" s="60" t="s">
        <v>87</v>
      </c>
      <c r="G613" s="60" t="s">
        <v>164</v>
      </c>
      <c r="H613" s="60" t="s">
        <v>707</v>
      </c>
      <c r="I613" s="60" t="s">
        <v>90</v>
      </c>
      <c r="J613" s="60" t="s">
        <v>2</v>
      </c>
      <c r="K613" s="60" t="s">
        <v>2</v>
      </c>
      <c r="L613" s="60" t="s">
        <v>87</v>
      </c>
      <c r="M613" s="60">
        <v>30</v>
      </c>
      <c r="N613" s="60" t="s">
        <v>87</v>
      </c>
      <c r="O613" s="60">
        <v>17</v>
      </c>
      <c r="P613" s="60" t="s">
        <v>748</v>
      </c>
      <c r="Q613" s="60" t="s">
        <v>22</v>
      </c>
      <c r="R613" s="60" t="s">
        <v>92</v>
      </c>
      <c r="S613" s="60" t="s">
        <v>23</v>
      </c>
      <c r="T613" s="60" t="s">
        <v>94</v>
      </c>
      <c r="U613" s="60" t="s">
        <v>108</v>
      </c>
      <c r="V613" s="60" t="s">
        <v>94</v>
      </c>
      <c r="W613" s="60" t="s">
        <v>93</v>
      </c>
      <c r="X613" s="63" t="s">
        <v>95</v>
      </c>
    </row>
    <row r="614" spans="1:24">
      <c r="A614" s="60">
        <v>1347</v>
      </c>
      <c r="B614" s="61" t="s">
        <v>1857</v>
      </c>
      <c r="C614" s="62" t="s">
        <v>1858</v>
      </c>
      <c r="D614" s="62" t="s">
        <v>1859</v>
      </c>
      <c r="E614" s="60" t="s">
        <v>266</v>
      </c>
      <c r="F614" s="60" t="s">
        <v>87</v>
      </c>
      <c r="G614" s="60" t="s">
        <v>150</v>
      </c>
      <c r="H614" s="60" t="s">
        <v>707</v>
      </c>
      <c r="I614" s="60" t="s">
        <v>101</v>
      </c>
      <c r="J614" s="60" t="s">
        <v>2</v>
      </c>
      <c r="K614" s="60" t="s">
        <v>3</v>
      </c>
      <c r="L614" s="60" t="s">
        <v>87</v>
      </c>
      <c r="M614" s="60">
        <v>22</v>
      </c>
      <c r="N614" s="60" t="s">
        <v>87</v>
      </c>
      <c r="O614" s="60">
        <v>8</v>
      </c>
      <c r="P614" s="60" t="s">
        <v>714</v>
      </c>
      <c r="Q614" s="60" t="s">
        <v>92</v>
      </c>
      <c r="R614" s="60" t="s">
        <v>20</v>
      </c>
      <c r="S614" s="60" t="s">
        <v>92</v>
      </c>
      <c r="T614" s="60" t="s">
        <v>94</v>
      </c>
      <c r="U614" s="60" t="s">
        <v>93</v>
      </c>
      <c r="V614" s="60" t="s">
        <v>92</v>
      </c>
      <c r="W614" s="60" t="s">
        <v>93</v>
      </c>
      <c r="X614" s="63" t="s">
        <v>102</v>
      </c>
    </row>
    <row r="615" spans="1:24">
      <c r="A615" s="60">
        <v>776</v>
      </c>
      <c r="B615" s="61" t="s">
        <v>1120</v>
      </c>
      <c r="C615" s="62" t="s">
        <v>1121</v>
      </c>
      <c r="D615" s="62" t="s">
        <v>1122</v>
      </c>
      <c r="E615" s="60" t="s">
        <v>127</v>
      </c>
      <c r="F615" s="60" t="s">
        <v>87</v>
      </c>
      <c r="G615" s="60" t="s">
        <v>142</v>
      </c>
      <c r="H615" s="60" t="s">
        <v>707</v>
      </c>
      <c r="I615" s="60" t="s">
        <v>101</v>
      </c>
      <c r="J615" s="60" t="s">
        <v>2</v>
      </c>
      <c r="K615" s="60" t="s">
        <v>2</v>
      </c>
      <c r="L615" s="60" t="s">
        <v>87</v>
      </c>
      <c r="M615" s="60">
        <v>68</v>
      </c>
      <c r="N615" s="60" t="s">
        <v>87</v>
      </c>
      <c r="O615" s="60">
        <v>16</v>
      </c>
      <c r="P615" s="60" t="s">
        <v>726</v>
      </c>
      <c r="Q615" s="60" t="s">
        <v>19</v>
      </c>
      <c r="R615" s="60" t="s">
        <v>92</v>
      </c>
      <c r="S615" s="60" t="s">
        <v>92</v>
      </c>
      <c r="T615" s="60" t="s">
        <v>94</v>
      </c>
      <c r="U615" s="60" t="s">
        <v>108</v>
      </c>
      <c r="V615" s="60" t="s">
        <v>92</v>
      </c>
      <c r="W615" s="60" t="s">
        <v>93</v>
      </c>
      <c r="X615" s="63" t="s">
        <v>102</v>
      </c>
    </row>
    <row r="616" spans="1:24">
      <c r="A616" s="60">
        <v>1163</v>
      </c>
      <c r="B616" s="61" t="s">
        <v>1123</v>
      </c>
      <c r="C616" s="62" t="s">
        <v>1124</v>
      </c>
      <c r="D616" s="62" t="s">
        <v>774</v>
      </c>
      <c r="E616" s="60" t="s">
        <v>141</v>
      </c>
      <c r="F616" s="60" t="s">
        <v>170</v>
      </c>
      <c r="G616" s="60" t="s">
        <v>376</v>
      </c>
      <c r="H616" s="60" t="s">
        <v>707</v>
      </c>
      <c r="I616" s="60" t="s">
        <v>101</v>
      </c>
      <c r="J616" s="60" t="s">
        <v>2</v>
      </c>
      <c r="K616" s="60" t="s">
        <v>2</v>
      </c>
      <c r="L616" s="60" t="s">
        <v>87</v>
      </c>
      <c r="M616" s="60">
        <v>100</v>
      </c>
      <c r="N616" s="60" t="s">
        <v>87</v>
      </c>
      <c r="O616" s="60">
        <v>1</v>
      </c>
      <c r="P616" s="60" t="s">
        <v>729</v>
      </c>
      <c r="Q616" s="60" t="s">
        <v>92</v>
      </c>
      <c r="R616" s="60" t="s">
        <v>20</v>
      </c>
      <c r="S616" s="60" t="s">
        <v>38</v>
      </c>
      <c r="T616" s="60" t="s">
        <v>94</v>
      </c>
      <c r="U616" s="60" t="s">
        <v>90</v>
      </c>
      <c r="V616" s="60" t="s">
        <v>94</v>
      </c>
      <c r="W616" s="60" t="s">
        <v>90</v>
      </c>
      <c r="X616" s="63" t="s">
        <v>102</v>
      </c>
    </row>
    <row r="617" spans="1:24">
      <c r="A617" s="60">
        <v>948</v>
      </c>
      <c r="B617" s="61" t="s">
        <v>1860</v>
      </c>
      <c r="C617" s="62" t="s">
        <v>1861</v>
      </c>
      <c r="D617" s="62" t="s">
        <v>1862</v>
      </c>
      <c r="E617" s="60" t="s">
        <v>146</v>
      </c>
      <c r="F617" s="60" t="s">
        <v>87</v>
      </c>
      <c r="G617" s="60" t="s">
        <v>112</v>
      </c>
      <c r="H617" s="60" t="s">
        <v>707</v>
      </c>
      <c r="I617" s="60" t="s">
        <v>90</v>
      </c>
      <c r="J617" s="60" t="s">
        <v>3</v>
      </c>
      <c r="K617" s="60" t="s">
        <v>3</v>
      </c>
      <c r="L617" s="60" t="s">
        <v>87</v>
      </c>
      <c r="M617" s="60">
        <v>4</v>
      </c>
      <c r="N617" s="60" t="s">
        <v>87</v>
      </c>
      <c r="O617" s="60">
        <v>3</v>
      </c>
      <c r="P617" s="60" t="s">
        <v>727</v>
      </c>
      <c r="Q617" s="60" t="s">
        <v>92</v>
      </c>
      <c r="R617" s="60" t="s">
        <v>20</v>
      </c>
      <c r="S617" s="60" t="s">
        <v>92</v>
      </c>
      <c r="T617" s="60" t="s">
        <v>92</v>
      </c>
      <c r="U617" s="60" t="s">
        <v>101</v>
      </c>
      <c r="V617" s="60" t="s">
        <v>92</v>
      </c>
      <c r="W617" s="60" t="s">
        <v>93</v>
      </c>
      <c r="X617" s="63" t="s">
        <v>95</v>
      </c>
    </row>
    <row r="618" spans="1:24">
      <c r="A618" s="60">
        <v>1340</v>
      </c>
      <c r="B618" s="61" t="s">
        <v>1125</v>
      </c>
      <c r="C618" s="62" t="s">
        <v>1126</v>
      </c>
      <c r="D618" s="62" t="s">
        <v>787</v>
      </c>
      <c r="E618" s="60" t="s">
        <v>266</v>
      </c>
      <c r="F618" s="60" t="s">
        <v>87</v>
      </c>
      <c r="G618" s="60" t="s">
        <v>142</v>
      </c>
      <c r="H618" s="60" t="s">
        <v>707</v>
      </c>
      <c r="I618" s="60" t="s">
        <v>90</v>
      </c>
      <c r="J618" s="60" t="s">
        <v>2</v>
      </c>
      <c r="K618" s="60" t="s">
        <v>2</v>
      </c>
      <c r="L618" s="60" t="s">
        <v>87</v>
      </c>
      <c r="M618" s="60">
        <v>4</v>
      </c>
      <c r="N618" s="60" t="s">
        <v>87</v>
      </c>
      <c r="O618" s="60">
        <v>3</v>
      </c>
      <c r="P618" s="60" t="s">
        <v>727</v>
      </c>
      <c r="Q618" s="60" t="s">
        <v>22</v>
      </c>
      <c r="R618" s="60" t="s">
        <v>21</v>
      </c>
      <c r="S618" s="60" t="s">
        <v>92</v>
      </c>
      <c r="T618" s="60" t="s">
        <v>92</v>
      </c>
      <c r="U618" s="60" t="s">
        <v>101</v>
      </c>
      <c r="V618" s="60" t="s">
        <v>92</v>
      </c>
      <c r="W618" s="60" t="s">
        <v>93</v>
      </c>
      <c r="X618" s="63" t="s">
        <v>95</v>
      </c>
    </row>
    <row r="619" spans="1:24">
      <c r="A619" s="60">
        <v>1262</v>
      </c>
      <c r="B619" s="61" t="s">
        <v>1127</v>
      </c>
      <c r="C619" s="62" t="s">
        <v>1128</v>
      </c>
      <c r="D619" s="62" t="s">
        <v>401</v>
      </c>
      <c r="E619" s="60" t="s">
        <v>127</v>
      </c>
      <c r="F619" s="60" t="s">
        <v>170</v>
      </c>
      <c r="G619" s="60" t="s">
        <v>155</v>
      </c>
      <c r="H619" s="60" t="s">
        <v>707</v>
      </c>
      <c r="I619" s="60" t="s">
        <v>101</v>
      </c>
      <c r="J619" s="60" t="s">
        <v>2</v>
      </c>
      <c r="K619" s="60" t="s">
        <v>2</v>
      </c>
      <c r="L619" s="60" t="s">
        <v>87</v>
      </c>
      <c r="M619" s="60">
        <v>100</v>
      </c>
      <c r="N619" s="60" t="s">
        <v>87</v>
      </c>
      <c r="O619" s="60">
        <v>2</v>
      </c>
      <c r="P619" s="60" t="s">
        <v>807</v>
      </c>
      <c r="Q619" s="60" t="s">
        <v>92</v>
      </c>
      <c r="R619" s="60" t="s">
        <v>92</v>
      </c>
      <c r="S619" s="60" t="s">
        <v>38</v>
      </c>
      <c r="T619" s="60" t="s">
        <v>94</v>
      </c>
      <c r="U619" s="60" t="s">
        <v>108</v>
      </c>
      <c r="V619" s="60" t="s">
        <v>92</v>
      </c>
      <c r="W619" s="60" t="s">
        <v>90</v>
      </c>
      <c r="X619" s="63" t="s">
        <v>102</v>
      </c>
    </row>
    <row r="620" spans="1:24">
      <c r="A620" s="60">
        <v>1121</v>
      </c>
      <c r="B620" s="61" t="s">
        <v>1254</v>
      </c>
      <c r="C620" s="62" t="s">
        <v>1255</v>
      </c>
      <c r="D620" s="62" t="s">
        <v>201</v>
      </c>
      <c r="E620" s="60" t="s">
        <v>197</v>
      </c>
      <c r="F620" s="60" t="s">
        <v>170</v>
      </c>
      <c r="G620" s="60" t="s">
        <v>117</v>
      </c>
      <c r="H620" s="60" t="s">
        <v>707</v>
      </c>
      <c r="I620" s="60" t="s">
        <v>90</v>
      </c>
      <c r="J620" s="60" t="s">
        <v>3</v>
      </c>
      <c r="K620" s="60" t="s">
        <v>2</v>
      </c>
      <c r="L620" s="60" t="s">
        <v>87</v>
      </c>
      <c r="M620" s="60">
        <v>100</v>
      </c>
      <c r="N620" s="60" t="s">
        <v>87</v>
      </c>
      <c r="O620" s="60">
        <v>1</v>
      </c>
      <c r="P620" s="60" t="s">
        <v>729</v>
      </c>
      <c r="Q620" s="60" t="s">
        <v>92</v>
      </c>
      <c r="R620" s="60" t="s">
        <v>21</v>
      </c>
      <c r="S620" s="60" t="s">
        <v>92</v>
      </c>
      <c r="T620" s="60" t="s">
        <v>94</v>
      </c>
      <c r="U620" s="60" t="s">
        <v>90</v>
      </c>
      <c r="V620" s="60" t="s">
        <v>94</v>
      </c>
      <c r="W620" s="60" t="s">
        <v>93</v>
      </c>
      <c r="X620" s="63" t="s">
        <v>95</v>
      </c>
    </row>
    <row r="621" spans="1:24">
      <c r="A621" s="60">
        <v>895</v>
      </c>
      <c r="B621" s="61" t="s">
        <v>1129</v>
      </c>
      <c r="C621" s="62" t="s">
        <v>1130</v>
      </c>
      <c r="D621" s="62" t="s">
        <v>571</v>
      </c>
      <c r="E621" s="60" t="s">
        <v>266</v>
      </c>
      <c r="F621" s="60" t="s">
        <v>87</v>
      </c>
      <c r="G621" s="60" t="s">
        <v>99</v>
      </c>
      <c r="H621" s="60" t="s">
        <v>707</v>
      </c>
      <c r="I621" s="60" t="s">
        <v>101</v>
      </c>
      <c r="J621" s="60" t="s">
        <v>71</v>
      </c>
      <c r="K621" s="60" t="s">
        <v>2</v>
      </c>
      <c r="L621" s="60" t="s">
        <v>87</v>
      </c>
      <c r="M621" s="60">
        <v>55</v>
      </c>
      <c r="N621" s="60" t="s">
        <v>87</v>
      </c>
      <c r="O621" s="60">
        <v>11</v>
      </c>
      <c r="P621" s="60" t="s">
        <v>778</v>
      </c>
      <c r="Q621" s="60" t="s">
        <v>24</v>
      </c>
      <c r="R621" s="60" t="s">
        <v>92</v>
      </c>
      <c r="S621" s="60" t="s">
        <v>92</v>
      </c>
      <c r="T621" s="60" t="s">
        <v>94</v>
      </c>
      <c r="U621" s="60" t="s">
        <v>108</v>
      </c>
      <c r="V621" s="60" t="s">
        <v>92</v>
      </c>
      <c r="W621" s="60" t="s">
        <v>101</v>
      </c>
      <c r="X621" s="63" t="s">
        <v>102</v>
      </c>
    </row>
    <row r="622" spans="1:24">
      <c r="A622" s="60">
        <v>967</v>
      </c>
      <c r="B622" s="61" t="s">
        <v>635</v>
      </c>
      <c r="C622" s="62" t="s">
        <v>636</v>
      </c>
      <c r="D622" s="62" t="s">
        <v>379</v>
      </c>
      <c r="E622" s="60" t="s">
        <v>157</v>
      </c>
      <c r="F622" s="60" t="s">
        <v>87</v>
      </c>
      <c r="G622" s="60" t="s">
        <v>150</v>
      </c>
      <c r="H622" s="60" t="s">
        <v>100</v>
      </c>
      <c r="I622" s="60" t="s">
        <v>101</v>
      </c>
      <c r="J622" s="60" t="s">
        <v>2</v>
      </c>
      <c r="K622" s="60" t="s">
        <v>2</v>
      </c>
      <c r="L622" s="60">
        <v>16</v>
      </c>
      <c r="M622" s="60">
        <v>2</v>
      </c>
      <c r="N622" s="60">
        <v>4</v>
      </c>
      <c r="O622" s="60" t="s">
        <v>118</v>
      </c>
      <c r="P622" s="60" t="s">
        <v>174</v>
      </c>
      <c r="Q622" s="60" t="s">
        <v>22</v>
      </c>
      <c r="R622" s="60" t="s">
        <v>21</v>
      </c>
      <c r="S622" s="60" t="s">
        <v>92</v>
      </c>
      <c r="T622" s="60" t="s">
        <v>94</v>
      </c>
      <c r="U622" s="60" t="s">
        <v>108</v>
      </c>
      <c r="V622" s="60" t="s">
        <v>92</v>
      </c>
      <c r="W622" s="60" t="s">
        <v>93</v>
      </c>
      <c r="X622" s="63" t="s">
        <v>102</v>
      </c>
    </row>
    <row r="623" spans="1:24">
      <c r="A623" s="60">
        <v>889</v>
      </c>
      <c r="B623" s="61" t="s">
        <v>637</v>
      </c>
      <c r="C623" s="62" t="s">
        <v>638</v>
      </c>
      <c r="D623" s="62" t="s">
        <v>300</v>
      </c>
      <c r="E623" s="60" t="s">
        <v>266</v>
      </c>
      <c r="F623" s="60" t="s">
        <v>87</v>
      </c>
      <c r="G623" s="60" t="s">
        <v>150</v>
      </c>
      <c r="H623" s="60" t="s">
        <v>100</v>
      </c>
      <c r="I623" s="60" t="s">
        <v>90</v>
      </c>
      <c r="J623" s="60" t="s">
        <v>2</v>
      </c>
      <c r="K623" s="60" t="s">
        <v>2</v>
      </c>
      <c r="L623" s="60">
        <v>128</v>
      </c>
      <c r="M623" s="60" t="s">
        <v>87</v>
      </c>
      <c r="N623" s="60">
        <v>10</v>
      </c>
      <c r="O623" s="60" t="s">
        <v>87</v>
      </c>
      <c r="P623" s="60">
        <v>10</v>
      </c>
      <c r="Q623" s="60" t="s">
        <v>24</v>
      </c>
      <c r="R623" s="60" t="s">
        <v>20</v>
      </c>
      <c r="S623" s="60" t="s">
        <v>92</v>
      </c>
      <c r="T623" s="60" t="s">
        <v>94</v>
      </c>
      <c r="U623" s="60" t="s">
        <v>101</v>
      </c>
      <c r="V623" s="60" t="s">
        <v>92</v>
      </c>
      <c r="W623" s="60" t="s">
        <v>90</v>
      </c>
      <c r="X623" s="63" t="s">
        <v>95</v>
      </c>
    </row>
    <row r="624" spans="1:24">
      <c r="A624" s="60">
        <v>237</v>
      </c>
      <c r="B624" s="61" t="s">
        <v>1131</v>
      </c>
      <c r="C624" s="62" t="s">
        <v>1132</v>
      </c>
      <c r="D624" s="62" t="s">
        <v>1133</v>
      </c>
      <c r="E624" s="60" t="s">
        <v>169</v>
      </c>
      <c r="F624" s="60" t="s">
        <v>87</v>
      </c>
      <c r="G624" s="60" t="s">
        <v>142</v>
      </c>
      <c r="H624" s="60" t="s">
        <v>707</v>
      </c>
      <c r="I624" s="60" t="s">
        <v>101</v>
      </c>
      <c r="J624" s="60" t="s">
        <v>2</v>
      </c>
      <c r="K624" s="60" t="s">
        <v>2</v>
      </c>
      <c r="L624" s="60" t="s">
        <v>87</v>
      </c>
      <c r="M624" s="60">
        <v>63</v>
      </c>
      <c r="N624" s="60" t="s">
        <v>87</v>
      </c>
      <c r="O624" s="60">
        <v>13</v>
      </c>
      <c r="P624" s="60" t="s">
        <v>718</v>
      </c>
      <c r="Q624" s="60" t="s">
        <v>19</v>
      </c>
      <c r="R624" s="60" t="s">
        <v>20</v>
      </c>
      <c r="S624" s="60" t="s">
        <v>92</v>
      </c>
      <c r="T624" s="60" t="s">
        <v>94</v>
      </c>
      <c r="U624" s="60" t="s">
        <v>108</v>
      </c>
      <c r="V624" s="60" t="s">
        <v>94</v>
      </c>
      <c r="W624" s="60" t="s">
        <v>93</v>
      </c>
      <c r="X624" s="63" t="s">
        <v>102</v>
      </c>
    </row>
    <row r="625" spans="1:24">
      <c r="A625" s="60">
        <v>867</v>
      </c>
      <c r="B625" s="61" t="s">
        <v>1429</v>
      </c>
      <c r="C625" s="62" t="s">
        <v>1430</v>
      </c>
      <c r="D625" s="62" t="s">
        <v>1431</v>
      </c>
      <c r="E625" s="60" t="s">
        <v>190</v>
      </c>
      <c r="F625" s="60" t="s">
        <v>87</v>
      </c>
      <c r="G625" s="60" t="s">
        <v>150</v>
      </c>
      <c r="H625" s="60" t="s">
        <v>707</v>
      </c>
      <c r="I625" s="60" t="s">
        <v>101</v>
      </c>
      <c r="J625" s="60" t="s">
        <v>2</v>
      </c>
      <c r="K625" s="60" t="s">
        <v>2</v>
      </c>
      <c r="L625" s="60" t="s">
        <v>87</v>
      </c>
      <c r="M625" s="60">
        <v>52</v>
      </c>
      <c r="N625" s="60" t="s">
        <v>87</v>
      </c>
      <c r="O625" s="60">
        <v>14</v>
      </c>
      <c r="P625" s="60" t="s">
        <v>794</v>
      </c>
      <c r="Q625" s="60" t="s">
        <v>19</v>
      </c>
      <c r="R625" s="60" t="s">
        <v>20</v>
      </c>
      <c r="S625" s="60" t="s">
        <v>92</v>
      </c>
      <c r="T625" s="60" t="s">
        <v>94</v>
      </c>
      <c r="U625" s="60" t="s">
        <v>90</v>
      </c>
      <c r="V625" s="60" t="s">
        <v>92</v>
      </c>
      <c r="W625" s="60" t="s">
        <v>101</v>
      </c>
      <c r="X625" s="63" t="s">
        <v>102</v>
      </c>
    </row>
    <row r="626" spans="1:24">
      <c r="A626" s="60">
        <v>1115</v>
      </c>
      <c r="B626" s="61" t="s">
        <v>1206</v>
      </c>
      <c r="C626" s="62" t="s">
        <v>1207</v>
      </c>
      <c r="D626" s="62" t="s">
        <v>1208</v>
      </c>
      <c r="E626" s="60" t="s">
        <v>186</v>
      </c>
      <c r="F626" s="60" t="s">
        <v>87</v>
      </c>
      <c r="G626" s="60" t="s">
        <v>112</v>
      </c>
      <c r="H626" s="60" t="s">
        <v>100</v>
      </c>
      <c r="I626" s="60" t="s">
        <v>101</v>
      </c>
      <c r="J626" s="60" t="s">
        <v>2</v>
      </c>
      <c r="K626" s="60" t="s">
        <v>2</v>
      </c>
      <c r="L626" s="60">
        <v>27</v>
      </c>
      <c r="M626" s="60" t="s">
        <v>87</v>
      </c>
      <c r="N626" s="60">
        <v>17</v>
      </c>
      <c r="O626" s="60" t="s">
        <v>87</v>
      </c>
      <c r="P626" s="60">
        <v>17</v>
      </c>
      <c r="Q626" s="60" t="s">
        <v>92</v>
      </c>
      <c r="R626" s="60" t="s">
        <v>20</v>
      </c>
      <c r="S626" s="60" t="s">
        <v>37</v>
      </c>
      <c r="T626" s="60" t="s">
        <v>92</v>
      </c>
      <c r="U626" s="60" t="s">
        <v>108</v>
      </c>
      <c r="V626" s="60" t="s">
        <v>92</v>
      </c>
      <c r="W626" s="60" t="s">
        <v>93</v>
      </c>
      <c r="X626" s="63" t="s">
        <v>102</v>
      </c>
    </row>
    <row r="627" spans="1:24">
      <c r="A627" s="60">
        <v>532</v>
      </c>
      <c r="B627" s="61" t="s">
        <v>1134</v>
      </c>
      <c r="C627" s="62" t="s">
        <v>1135</v>
      </c>
      <c r="D627" s="62" t="s">
        <v>390</v>
      </c>
      <c r="E627" s="60" t="s">
        <v>141</v>
      </c>
      <c r="F627" s="60" t="s">
        <v>87</v>
      </c>
      <c r="G627" s="60" t="s">
        <v>88</v>
      </c>
      <c r="H627" s="60" t="s">
        <v>707</v>
      </c>
      <c r="I627" s="60" t="s">
        <v>101</v>
      </c>
      <c r="J627" s="60" t="s">
        <v>2</v>
      </c>
      <c r="K627" s="60" t="s">
        <v>2</v>
      </c>
      <c r="L627" s="60" t="s">
        <v>87</v>
      </c>
      <c r="M627" s="60">
        <v>68</v>
      </c>
      <c r="N627" s="60" t="s">
        <v>87</v>
      </c>
      <c r="O627" s="60">
        <v>13</v>
      </c>
      <c r="P627" s="60" t="s">
        <v>718</v>
      </c>
      <c r="Q627" s="60" t="s">
        <v>24</v>
      </c>
      <c r="R627" s="60" t="s">
        <v>92</v>
      </c>
      <c r="S627" s="60" t="s">
        <v>92</v>
      </c>
      <c r="T627" s="60" t="s">
        <v>94</v>
      </c>
      <c r="U627" s="60" t="s">
        <v>108</v>
      </c>
      <c r="V627" s="60" t="s">
        <v>92</v>
      </c>
      <c r="W627" s="60" t="s">
        <v>93</v>
      </c>
      <c r="X627" s="63" t="s">
        <v>102</v>
      </c>
    </row>
    <row r="628" spans="1:24">
      <c r="A628" s="60">
        <v>501</v>
      </c>
      <c r="B628" s="61" t="s">
        <v>639</v>
      </c>
      <c r="C628" s="62" t="s">
        <v>640</v>
      </c>
      <c r="D628" s="62" t="s">
        <v>641</v>
      </c>
      <c r="E628" s="60" t="s">
        <v>149</v>
      </c>
      <c r="F628" s="60" t="s">
        <v>170</v>
      </c>
      <c r="G628" s="60" t="s">
        <v>376</v>
      </c>
      <c r="H628" s="60" t="s">
        <v>100</v>
      </c>
      <c r="I628" s="60" t="s">
        <v>90</v>
      </c>
      <c r="J628" s="60" t="s">
        <v>3</v>
      </c>
      <c r="K628" s="60" t="s">
        <v>3</v>
      </c>
      <c r="L628" s="60">
        <v>200</v>
      </c>
      <c r="M628" s="60">
        <v>100</v>
      </c>
      <c r="N628" s="60">
        <v>2</v>
      </c>
      <c r="O628" s="60">
        <v>1</v>
      </c>
      <c r="P628" s="60" t="s">
        <v>172</v>
      </c>
      <c r="Q628" s="60" t="s">
        <v>92</v>
      </c>
      <c r="R628" s="60" t="s">
        <v>92</v>
      </c>
      <c r="S628" s="60" t="s">
        <v>38</v>
      </c>
      <c r="T628" s="60" t="s">
        <v>94</v>
      </c>
      <c r="U628" s="60" t="s">
        <v>90</v>
      </c>
      <c r="V628" s="60" t="s">
        <v>94</v>
      </c>
      <c r="W628" s="60" t="s">
        <v>101</v>
      </c>
      <c r="X628" s="63" t="s">
        <v>95</v>
      </c>
    </row>
    <row r="629" spans="1:24">
      <c r="A629" s="60">
        <v>1212</v>
      </c>
      <c r="B629" s="61" t="s">
        <v>642</v>
      </c>
      <c r="C629" s="62" t="s">
        <v>643</v>
      </c>
      <c r="D629" s="62" t="s">
        <v>641</v>
      </c>
      <c r="E629" s="60" t="s">
        <v>154</v>
      </c>
      <c r="F629" s="60" t="s">
        <v>170</v>
      </c>
      <c r="G629" s="60" t="s">
        <v>99</v>
      </c>
      <c r="H629" s="60" t="s">
        <v>707</v>
      </c>
      <c r="I629" s="60" t="s">
        <v>90</v>
      </c>
      <c r="J629" s="60" t="s">
        <v>3</v>
      </c>
      <c r="K629" s="60" t="s">
        <v>3</v>
      </c>
      <c r="L629" s="60" t="s">
        <v>87</v>
      </c>
      <c r="M629" s="60">
        <v>100</v>
      </c>
      <c r="N629" s="60" t="s">
        <v>87</v>
      </c>
      <c r="O629" s="60">
        <v>1</v>
      </c>
      <c r="P629" s="60" t="s">
        <v>729</v>
      </c>
      <c r="Q629" s="60" t="s">
        <v>19</v>
      </c>
      <c r="R629" s="60" t="s">
        <v>92</v>
      </c>
      <c r="S629" s="60" t="s">
        <v>38</v>
      </c>
      <c r="T629" s="60" t="s">
        <v>92</v>
      </c>
      <c r="U629" s="60" t="s">
        <v>101</v>
      </c>
      <c r="V629" s="60" t="s">
        <v>92</v>
      </c>
      <c r="W629" s="60" t="s">
        <v>93</v>
      </c>
      <c r="X629" s="63" t="s">
        <v>95</v>
      </c>
    </row>
    <row r="630" spans="1:24">
      <c r="A630" s="60">
        <v>944</v>
      </c>
      <c r="B630" s="61" t="s">
        <v>1136</v>
      </c>
      <c r="C630" s="62" t="s">
        <v>1137</v>
      </c>
      <c r="D630" s="62" t="s">
        <v>753</v>
      </c>
      <c r="E630" s="60" t="s">
        <v>146</v>
      </c>
      <c r="F630" s="60" t="s">
        <v>87</v>
      </c>
      <c r="G630" s="60" t="s">
        <v>182</v>
      </c>
      <c r="H630" s="60" t="s">
        <v>707</v>
      </c>
      <c r="I630" s="60" t="s">
        <v>101</v>
      </c>
      <c r="J630" s="60" t="s">
        <v>2</v>
      </c>
      <c r="K630" s="60" t="s">
        <v>2</v>
      </c>
      <c r="L630" s="60" t="s">
        <v>87</v>
      </c>
      <c r="M630" s="60">
        <v>14</v>
      </c>
      <c r="N630" s="60" t="s">
        <v>87</v>
      </c>
      <c r="O630" s="60">
        <v>8</v>
      </c>
      <c r="P630" s="60" t="s">
        <v>714</v>
      </c>
      <c r="Q630" s="60" t="s">
        <v>22</v>
      </c>
      <c r="R630" s="60" t="s">
        <v>20</v>
      </c>
      <c r="S630" s="60" t="s">
        <v>37</v>
      </c>
      <c r="T630" s="60" t="s">
        <v>94</v>
      </c>
      <c r="U630" s="60" t="s">
        <v>93</v>
      </c>
      <c r="V630" s="60" t="s">
        <v>94</v>
      </c>
      <c r="W630" s="60" t="s">
        <v>93</v>
      </c>
      <c r="X630" s="63" t="s">
        <v>102</v>
      </c>
    </row>
    <row r="631" spans="1:24">
      <c r="A631" s="60">
        <v>710</v>
      </c>
      <c r="B631" s="61" t="s">
        <v>1863</v>
      </c>
      <c r="C631" s="62" t="s">
        <v>1864</v>
      </c>
      <c r="D631" s="62" t="s">
        <v>1865</v>
      </c>
      <c r="E631" s="60" t="s">
        <v>328</v>
      </c>
      <c r="F631" s="60" t="s">
        <v>87</v>
      </c>
      <c r="G631" s="60" t="s">
        <v>147</v>
      </c>
      <c r="H631" s="60" t="s">
        <v>100</v>
      </c>
      <c r="I631" s="60" t="s">
        <v>90</v>
      </c>
      <c r="J631" s="60" t="s">
        <v>3</v>
      </c>
      <c r="K631" s="60" t="s">
        <v>2</v>
      </c>
      <c r="L631" s="60">
        <v>150</v>
      </c>
      <c r="M631" s="60" t="s">
        <v>87</v>
      </c>
      <c r="N631" s="60">
        <v>10</v>
      </c>
      <c r="O631" s="60" t="s">
        <v>87</v>
      </c>
      <c r="P631" s="60">
        <v>10</v>
      </c>
      <c r="Q631" s="60" t="s">
        <v>24</v>
      </c>
      <c r="R631" s="60" t="s">
        <v>20</v>
      </c>
      <c r="S631" s="60" t="s">
        <v>92</v>
      </c>
      <c r="T631" s="60" t="s">
        <v>94</v>
      </c>
      <c r="U631" s="60" t="s">
        <v>108</v>
      </c>
      <c r="V631" s="60" t="s">
        <v>92</v>
      </c>
      <c r="W631" s="60" t="s">
        <v>93</v>
      </c>
      <c r="X631" s="63" t="s">
        <v>95</v>
      </c>
    </row>
    <row r="632" spans="1:24">
      <c r="A632" s="60">
        <v>289</v>
      </c>
      <c r="B632" s="61" t="s">
        <v>1193</v>
      </c>
      <c r="C632" s="62" t="s">
        <v>1194</v>
      </c>
      <c r="D632" s="62" t="s">
        <v>1195</v>
      </c>
      <c r="E632" s="60" t="s">
        <v>408</v>
      </c>
      <c r="F632" s="60" t="s">
        <v>87</v>
      </c>
      <c r="G632" s="60" t="s">
        <v>150</v>
      </c>
      <c r="H632" s="60" t="s">
        <v>100</v>
      </c>
      <c r="I632" s="60" t="s">
        <v>101</v>
      </c>
      <c r="J632" s="60" t="s">
        <v>2</v>
      </c>
      <c r="K632" s="60" t="s">
        <v>2</v>
      </c>
      <c r="L632" s="60">
        <v>154</v>
      </c>
      <c r="M632" s="60" t="s">
        <v>87</v>
      </c>
      <c r="N632" s="60">
        <v>10</v>
      </c>
      <c r="O632" s="60" t="s">
        <v>87</v>
      </c>
      <c r="P632" s="60">
        <v>10</v>
      </c>
      <c r="Q632" s="60" t="s">
        <v>19</v>
      </c>
      <c r="R632" s="60" t="s">
        <v>20</v>
      </c>
      <c r="S632" s="60" t="s">
        <v>3</v>
      </c>
      <c r="T632" s="60" t="s">
        <v>94</v>
      </c>
      <c r="U632" s="60" t="s">
        <v>101</v>
      </c>
      <c r="V632" s="60" t="s">
        <v>92</v>
      </c>
      <c r="W632" s="60" t="s">
        <v>108</v>
      </c>
      <c r="X632" s="63" t="s">
        <v>102</v>
      </c>
    </row>
    <row r="633" spans="1:24">
      <c r="A633" s="60">
        <v>55</v>
      </c>
      <c r="B633" s="61" t="s">
        <v>1138</v>
      </c>
      <c r="C633" s="62" t="s">
        <v>1139</v>
      </c>
      <c r="D633" s="62" t="s">
        <v>1140</v>
      </c>
      <c r="E633" s="60" t="s">
        <v>86</v>
      </c>
      <c r="F633" s="60" t="s">
        <v>87</v>
      </c>
      <c r="G633" s="60" t="s">
        <v>182</v>
      </c>
      <c r="H633" s="60" t="s">
        <v>707</v>
      </c>
      <c r="I633" s="60" t="s">
        <v>90</v>
      </c>
      <c r="J633" s="60" t="s">
        <v>2</v>
      </c>
      <c r="K633" s="60" t="s">
        <v>2</v>
      </c>
      <c r="L633" s="60" t="s">
        <v>87</v>
      </c>
      <c r="M633" s="60">
        <v>59</v>
      </c>
      <c r="N633" s="60" t="s">
        <v>87</v>
      </c>
      <c r="O633" s="60">
        <v>6</v>
      </c>
      <c r="P633" s="60" t="s">
        <v>740</v>
      </c>
      <c r="Q633" s="60" t="s">
        <v>19</v>
      </c>
      <c r="R633" s="60" t="s">
        <v>20</v>
      </c>
      <c r="S633" s="60" t="s">
        <v>92</v>
      </c>
      <c r="T633" s="60" t="s">
        <v>92</v>
      </c>
      <c r="U633" s="60" t="s">
        <v>108</v>
      </c>
      <c r="V633" s="60" t="s">
        <v>92</v>
      </c>
      <c r="W633" s="60" t="s">
        <v>93</v>
      </c>
      <c r="X633" s="63" t="s">
        <v>95</v>
      </c>
    </row>
    <row r="634" spans="1:24">
      <c r="A634" s="60">
        <v>1084</v>
      </c>
      <c r="B634" s="61" t="s">
        <v>1866</v>
      </c>
      <c r="C634" s="62" t="s">
        <v>1867</v>
      </c>
      <c r="D634" s="62" t="s">
        <v>1868</v>
      </c>
      <c r="E634" s="60" t="s">
        <v>123</v>
      </c>
      <c r="F634" s="60" t="s">
        <v>87</v>
      </c>
      <c r="G634" s="60" t="s">
        <v>142</v>
      </c>
      <c r="H634" s="60" t="s">
        <v>707</v>
      </c>
      <c r="I634" s="60" t="s">
        <v>101</v>
      </c>
      <c r="J634" s="60" t="s">
        <v>3</v>
      </c>
      <c r="K634" s="60" t="s">
        <v>3</v>
      </c>
      <c r="L634" s="60" t="s">
        <v>87</v>
      </c>
      <c r="M634" s="60">
        <v>6</v>
      </c>
      <c r="N634" s="60" t="s">
        <v>87</v>
      </c>
      <c r="O634" s="60">
        <v>5</v>
      </c>
      <c r="P634" s="60" t="s">
        <v>708</v>
      </c>
      <c r="Q634" s="60" t="s">
        <v>92</v>
      </c>
      <c r="R634" s="60" t="s">
        <v>92</v>
      </c>
      <c r="S634" s="60" t="s">
        <v>37</v>
      </c>
      <c r="T634" s="60" t="s">
        <v>94</v>
      </c>
      <c r="U634" s="60" t="s">
        <v>90</v>
      </c>
      <c r="V634" s="60" t="s">
        <v>92</v>
      </c>
      <c r="W634" s="60" t="s">
        <v>90</v>
      </c>
      <c r="X634" s="63" t="s">
        <v>102</v>
      </c>
    </row>
    <row r="635" spans="1:24">
      <c r="A635" s="60">
        <v>497</v>
      </c>
      <c r="B635" s="61" t="s">
        <v>644</v>
      </c>
      <c r="C635" s="62" t="s">
        <v>645</v>
      </c>
      <c r="D635" s="62" t="s">
        <v>646</v>
      </c>
      <c r="E635" s="60" t="s">
        <v>149</v>
      </c>
      <c r="F635" s="60" t="s">
        <v>87</v>
      </c>
      <c r="G635" s="60" t="s">
        <v>112</v>
      </c>
      <c r="H635" s="60" t="s">
        <v>100</v>
      </c>
      <c r="I635" s="60" t="s">
        <v>101</v>
      </c>
      <c r="J635" s="60" t="s">
        <v>2</v>
      </c>
      <c r="K635" s="60" t="s">
        <v>2</v>
      </c>
      <c r="L635" s="60">
        <v>201</v>
      </c>
      <c r="M635" s="60" t="s">
        <v>87</v>
      </c>
      <c r="N635" s="60">
        <v>8</v>
      </c>
      <c r="O635" s="60" t="s">
        <v>87</v>
      </c>
      <c r="P635" s="60">
        <v>8</v>
      </c>
      <c r="Q635" s="60" t="s">
        <v>22</v>
      </c>
      <c r="R635" s="60" t="s">
        <v>92</v>
      </c>
      <c r="S635" s="60" t="s">
        <v>3</v>
      </c>
      <c r="T635" s="60" t="s">
        <v>94</v>
      </c>
      <c r="U635" s="60" t="s">
        <v>90</v>
      </c>
      <c r="V635" s="60" t="s">
        <v>92</v>
      </c>
      <c r="W635" s="60" t="s">
        <v>101</v>
      </c>
      <c r="X635" s="63" t="s">
        <v>102</v>
      </c>
    </row>
    <row r="636" spans="1:24">
      <c r="A636" s="60">
        <v>448</v>
      </c>
      <c r="B636" s="61" t="s">
        <v>1869</v>
      </c>
      <c r="C636" s="62" t="s">
        <v>1870</v>
      </c>
      <c r="D636" s="62" t="s">
        <v>262</v>
      </c>
      <c r="E636" s="60" t="s">
        <v>186</v>
      </c>
      <c r="F636" s="60" t="s">
        <v>87</v>
      </c>
      <c r="G636" s="60" t="s">
        <v>99</v>
      </c>
      <c r="H636" s="60" t="s">
        <v>707</v>
      </c>
      <c r="I636" s="60" t="s">
        <v>90</v>
      </c>
      <c r="J636" s="60" t="s">
        <v>2</v>
      </c>
      <c r="K636" s="60" t="s">
        <v>2</v>
      </c>
      <c r="L636" s="60" t="s">
        <v>87</v>
      </c>
      <c r="M636" s="60">
        <v>33</v>
      </c>
      <c r="N636" s="60" t="s">
        <v>87</v>
      </c>
      <c r="O636" s="60">
        <v>10</v>
      </c>
      <c r="P636" s="60" t="s">
        <v>712</v>
      </c>
      <c r="Q636" s="60" t="s">
        <v>92</v>
      </c>
      <c r="R636" s="60" t="s">
        <v>20</v>
      </c>
      <c r="S636" s="60" t="s">
        <v>38</v>
      </c>
      <c r="T636" s="60" t="s">
        <v>94</v>
      </c>
      <c r="U636" s="60" t="s">
        <v>108</v>
      </c>
      <c r="V636" s="60" t="s">
        <v>92</v>
      </c>
      <c r="W636" s="60" t="s">
        <v>93</v>
      </c>
      <c r="X636" s="63" t="s">
        <v>95</v>
      </c>
    </row>
    <row r="637" spans="1:24">
      <c r="A637" s="60">
        <v>180</v>
      </c>
      <c r="B637" s="61" t="s">
        <v>1141</v>
      </c>
      <c r="C637" s="62" t="s">
        <v>1142</v>
      </c>
      <c r="D637" s="62" t="s">
        <v>168</v>
      </c>
      <c r="E637" s="60" t="s">
        <v>157</v>
      </c>
      <c r="F637" s="60" t="s">
        <v>87</v>
      </c>
      <c r="G637" s="60" t="s">
        <v>155</v>
      </c>
      <c r="H637" s="60" t="s">
        <v>707</v>
      </c>
      <c r="I637" s="60" t="s">
        <v>90</v>
      </c>
      <c r="J637" s="60" t="s">
        <v>3</v>
      </c>
      <c r="K637" s="60" t="s">
        <v>3</v>
      </c>
      <c r="L637" s="60" t="s">
        <v>87</v>
      </c>
      <c r="M637" s="60">
        <v>23</v>
      </c>
      <c r="N637" s="60" t="s">
        <v>87</v>
      </c>
      <c r="O637" s="60">
        <v>14</v>
      </c>
      <c r="P637" s="60" t="s">
        <v>794</v>
      </c>
      <c r="Q637" s="60" t="s">
        <v>19</v>
      </c>
      <c r="R637" s="60" t="s">
        <v>21</v>
      </c>
      <c r="S637" s="60" t="s">
        <v>23</v>
      </c>
      <c r="T637" s="60" t="s">
        <v>94</v>
      </c>
      <c r="U637" s="60" t="s">
        <v>93</v>
      </c>
      <c r="V637" s="60" t="s">
        <v>94</v>
      </c>
      <c r="W637" s="60" t="s">
        <v>93</v>
      </c>
      <c r="X637" s="63" t="s">
        <v>95</v>
      </c>
    </row>
    <row r="638" spans="1:24">
      <c r="A638" s="60">
        <v>839</v>
      </c>
      <c r="B638" s="61" t="s">
        <v>1143</v>
      </c>
      <c r="C638" s="62" t="s">
        <v>1144</v>
      </c>
      <c r="D638" s="62" t="s">
        <v>1145</v>
      </c>
      <c r="E638" s="60" t="s">
        <v>209</v>
      </c>
      <c r="F638" s="60" t="s">
        <v>87</v>
      </c>
      <c r="G638" s="60" t="s">
        <v>158</v>
      </c>
      <c r="H638" s="60" t="s">
        <v>707</v>
      </c>
      <c r="I638" s="60" t="s">
        <v>101</v>
      </c>
      <c r="J638" s="60" t="s">
        <v>2</v>
      </c>
      <c r="K638" s="60" t="s">
        <v>2</v>
      </c>
      <c r="L638" s="60" t="s">
        <v>87</v>
      </c>
      <c r="M638" s="60">
        <v>38</v>
      </c>
      <c r="N638" s="60" t="s">
        <v>87</v>
      </c>
      <c r="O638" s="60">
        <v>6</v>
      </c>
      <c r="P638" s="60" t="s">
        <v>740</v>
      </c>
      <c r="Q638" s="60" t="s">
        <v>92</v>
      </c>
      <c r="R638" s="60" t="s">
        <v>92</v>
      </c>
      <c r="S638" s="60" t="s">
        <v>3</v>
      </c>
      <c r="T638" s="60" t="s">
        <v>94</v>
      </c>
      <c r="U638" s="60" t="s">
        <v>108</v>
      </c>
      <c r="V638" s="60" t="s">
        <v>94</v>
      </c>
      <c r="W638" s="60" t="s">
        <v>93</v>
      </c>
      <c r="X638" s="63" t="s">
        <v>102</v>
      </c>
    </row>
    <row r="639" spans="1:24">
      <c r="A639" s="60">
        <v>1005</v>
      </c>
      <c r="B639" s="61" t="s">
        <v>1146</v>
      </c>
      <c r="C639" s="62" t="s">
        <v>1147</v>
      </c>
      <c r="D639" s="62" t="s">
        <v>1148</v>
      </c>
      <c r="E639" s="60" t="s">
        <v>98</v>
      </c>
      <c r="F639" s="60" t="s">
        <v>87</v>
      </c>
      <c r="G639" s="60" t="s">
        <v>164</v>
      </c>
      <c r="H639" s="60" t="s">
        <v>707</v>
      </c>
      <c r="I639" s="60" t="s">
        <v>90</v>
      </c>
      <c r="J639" s="60" t="s">
        <v>2</v>
      </c>
      <c r="K639" s="60" t="s">
        <v>3</v>
      </c>
      <c r="L639" s="60" t="s">
        <v>87</v>
      </c>
      <c r="M639" s="60">
        <v>5</v>
      </c>
      <c r="N639" s="60" t="s">
        <v>87</v>
      </c>
      <c r="O639" s="60">
        <v>3</v>
      </c>
      <c r="P639" s="60" t="s">
        <v>727</v>
      </c>
      <c r="Q639" s="60" t="s">
        <v>19</v>
      </c>
      <c r="R639" s="60" t="s">
        <v>20</v>
      </c>
      <c r="S639" s="60" t="s">
        <v>92</v>
      </c>
      <c r="T639" s="60" t="s">
        <v>92</v>
      </c>
      <c r="U639" s="60" t="s">
        <v>108</v>
      </c>
      <c r="V639" s="60" t="s">
        <v>92</v>
      </c>
      <c r="W639" s="60" t="s">
        <v>93</v>
      </c>
      <c r="X639" s="63" t="s">
        <v>95</v>
      </c>
    </row>
    <row r="640" spans="1:24">
      <c r="A640" s="60">
        <v>1199</v>
      </c>
      <c r="B640" s="61" t="s">
        <v>1432</v>
      </c>
      <c r="C640" s="62" t="s">
        <v>1433</v>
      </c>
      <c r="D640" s="62" t="s">
        <v>437</v>
      </c>
      <c r="E640" s="60" t="s">
        <v>127</v>
      </c>
      <c r="F640" s="60" t="s">
        <v>87</v>
      </c>
      <c r="G640" s="60" t="s">
        <v>164</v>
      </c>
      <c r="H640" s="60" t="s">
        <v>89</v>
      </c>
      <c r="I640" s="60" t="s">
        <v>90</v>
      </c>
      <c r="J640" s="60" t="s">
        <v>2</v>
      </c>
      <c r="K640" s="60" t="s">
        <v>3</v>
      </c>
      <c r="L640" s="60">
        <v>5</v>
      </c>
      <c r="M640" s="60">
        <v>19</v>
      </c>
      <c r="N640" s="60">
        <v>4</v>
      </c>
      <c r="O640" s="60" t="s">
        <v>633</v>
      </c>
      <c r="P640" s="60" t="s">
        <v>634</v>
      </c>
      <c r="Q640" s="60" t="s">
        <v>19</v>
      </c>
      <c r="R640" s="60" t="s">
        <v>21</v>
      </c>
      <c r="S640" s="60" t="s">
        <v>92</v>
      </c>
      <c r="T640" s="60" t="s">
        <v>94</v>
      </c>
      <c r="U640" s="60" t="s">
        <v>108</v>
      </c>
      <c r="V640" s="60" t="s">
        <v>94</v>
      </c>
      <c r="W640" s="60" t="s">
        <v>93</v>
      </c>
      <c r="X640" s="63" t="s">
        <v>95</v>
      </c>
    </row>
    <row r="641" spans="1:24">
      <c r="A641" s="60">
        <v>269</v>
      </c>
      <c r="B641" s="61" t="s">
        <v>1434</v>
      </c>
      <c r="C641" s="62" t="s">
        <v>1435</v>
      </c>
      <c r="D641" s="62" t="s">
        <v>375</v>
      </c>
      <c r="E641" s="60" t="s">
        <v>98</v>
      </c>
      <c r="F641" s="60" t="s">
        <v>87</v>
      </c>
      <c r="G641" s="60" t="s">
        <v>164</v>
      </c>
      <c r="H641" s="60" t="s">
        <v>707</v>
      </c>
      <c r="I641" s="60" t="s">
        <v>101</v>
      </c>
      <c r="J641" s="60" t="s">
        <v>3</v>
      </c>
      <c r="K641" s="60" t="s">
        <v>3</v>
      </c>
      <c r="L641" s="60" t="s">
        <v>87</v>
      </c>
      <c r="M641" s="60">
        <v>33</v>
      </c>
      <c r="N641" s="60" t="s">
        <v>87</v>
      </c>
      <c r="O641" s="60">
        <v>4</v>
      </c>
      <c r="P641" s="60" t="s">
        <v>754</v>
      </c>
      <c r="Q641" s="60" t="s">
        <v>92</v>
      </c>
      <c r="R641" s="60" t="s">
        <v>92</v>
      </c>
      <c r="S641" s="60" t="s">
        <v>37</v>
      </c>
      <c r="T641" s="60" t="s">
        <v>94</v>
      </c>
      <c r="U641" s="60" t="s">
        <v>101</v>
      </c>
      <c r="V641" s="60" t="s">
        <v>94</v>
      </c>
      <c r="W641" s="60" t="s">
        <v>93</v>
      </c>
      <c r="X641" s="63" t="s">
        <v>102</v>
      </c>
    </row>
    <row r="642" spans="1:24">
      <c r="A642" s="60">
        <v>688</v>
      </c>
      <c r="B642" s="61" t="s">
        <v>648</v>
      </c>
      <c r="C642" s="62" t="s">
        <v>649</v>
      </c>
      <c r="D642" s="62" t="s">
        <v>214</v>
      </c>
      <c r="E642" s="60" t="s">
        <v>42</v>
      </c>
      <c r="F642" s="60" t="s">
        <v>87</v>
      </c>
      <c r="G642" s="60" t="s">
        <v>150</v>
      </c>
      <c r="H642" s="60" t="s">
        <v>707</v>
      </c>
      <c r="I642" s="60" t="s">
        <v>101</v>
      </c>
      <c r="J642" s="60" t="s">
        <v>2</v>
      </c>
      <c r="K642" s="60" t="s">
        <v>2</v>
      </c>
      <c r="L642" s="60" t="s">
        <v>87</v>
      </c>
      <c r="M642" s="60">
        <v>35</v>
      </c>
      <c r="N642" s="60" t="s">
        <v>87</v>
      </c>
      <c r="O642" s="60">
        <v>9</v>
      </c>
      <c r="P642" s="60" t="s">
        <v>744</v>
      </c>
      <c r="Q642" s="60" t="s">
        <v>22</v>
      </c>
      <c r="R642" s="60" t="s">
        <v>92</v>
      </c>
      <c r="S642" s="60" t="s">
        <v>38</v>
      </c>
      <c r="T642" s="60" t="s">
        <v>92</v>
      </c>
      <c r="U642" s="60" t="s">
        <v>108</v>
      </c>
      <c r="V642" s="60" t="s">
        <v>92</v>
      </c>
      <c r="W642" s="60" t="s">
        <v>93</v>
      </c>
      <c r="X642" s="63" t="s">
        <v>102</v>
      </c>
    </row>
    <row r="643" spans="1:24">
      <c r="A643" s="60">
        <v>893</v>
      </c>
      <c r="B643" s="61" t="s">
        <v>1149</v>
      </c>
      <c r="C643" s="62" t="s">
        <v>1150</v>
      </c>
      <c r="D643" s="62" t="s">
        <v>201</v>
      </c>
      <c r="E643" s="60" t="s">
        <v>266</v>
      </c>
      <c r="F643" s="60" t="s">
        <v>87</v>
      </c>
      <c r="G643" s="60" t="s">
        <v>270</v>
      </c>
      <c r="H643" s="60" t="s">
        <v>707</v>
      </c>
      <c r="I643" s="60" t="s">
        <v>101</v>
      </c>
      <c r="J643" s="60" t="s">
        <v>3</v>
      </c>
      <c r="K643" s="60" t="s">
        <v>3</v>
      </c>
      <c r="L643" s="60" t="s">
        <v>87</v>
      </c>
      <c r="M643" s="60">
        <v>42</v>
      </c>
      <c r="N643" s="60" t="s">
        <v>87</v>
      </c>
      <c r="O643" s="60">
        <v>15</v>
      </c>
      <c r="P643" s="60" t="s">
        <v>836</v>
      </c>
      <c r="Q643" s="60" t="s">
        <v>92</v>
      </c>
      <c r="R643" s="60" t="s">
        <v>20</v>
      </c>
      <c r="S643" s="60" t="s">
        <v>37</v>
      </c>
      <c r="T643" s="60" t="s">
        <v>94</v>
      </c>
      <c r="U643" s="60" t="s">
        <v>101</v>
      </c>
      <c r="V643" s="60" t="s">
        <v>92</v>
      </c>
      <c r="W643" s="60" t="s">
        <v>93</v>
      </c>
      <c r="X643" s="63" t="s">
        <v>102</v>
      </c>
    </row>
    <row r="644" spans="1:24">
      <c r="A644" s="60">
        <v>18</v>
      </c>
      <c r="B644" s="61" t="s">
        <v>650</v>
      </c>
      <c r="C644" s="62" t="s">
        <v>651</v>
      </c>
      <c r="D644" s="62" t="s">
        <v>122</v>
      </c>
      <c r="E644" s="60" t="s">
        <v>178</v>
      </c>
      <c r="F644" s="60" t="s">
        <v>87</v>
      </c>
      <c r="G644" s="60" t="s">
        <v>99</v>
      </c>
      <c r="H644" s="60" t="s">
        <v>100</v>
      </c>
      <c r="I644" s="60" t="s">
        <v>101</v>
      </c>
      <c r="J644" s="60" t="s">
        <v>2</v>
      </c>
      <c r="K644" s="60" t="s">
        <v>2</v>
      </c>
      <c r="L644" s="60">
        <v>173</v>
      </c>
      <c r="M644" s="60" t="s">
        <v>87</v>
      </c>
      <c r="N644" s="60">
        <v>4</v>
      </c>
      <c r="O644" s="60" t="s">
        <v>87</v>
      </c>
      <c r="P644" s="60">
        <v>4</v>
      </c>
      <c r="Q644" s="60" t="s">
        <v>92</v>
      </c>
      <c r="R644" s="60" t="s">
        <v>92</v>
      </c>
      <c r="S644" s="60" t="s">
        <v>92</v>
      </c>
      <c r="T644" s="60" t="s">
        <v>94</v>
      </c>
      <c r="U644" s="60" t="s">
        <v>101</v>
      </c>
      <c r="V644" s="60" t="s">
        <v>92</v>
      </c>
      <c r="W644" s="60" t="s">
        <v>101</v>
      </c>
      <c r="X644" s="63" t="s">
        <v>102</v>
      </c>
    </row>
    <row r="645" spans="1:24">
      <c r="A645" s="60">
        <v>414</v>
      </c>
      <c r="B645" s="61" t="s">
        <v>1151</v>
      </c>
      <c r="C645" s="62" t="s">
        <v>1152</v>
      </c>
      <c r="D645" s="62" t="s">
        <v>806</v>
      </c>
      <c r="E645" s="60" t="s">
        <v>249</v>
      </c>
      <c r="F645" s="60" t="s">
        <v>87</v>
      </c>
      <c r="G645" s="60" t="s">
        <v>99</v>
      </c>
      <c r="H645" s="60" t="s">
        <v>707</v>
      </c>
      <c r="I645" s="60" t="s">
        <v>101</v>
      </c>
      <c r="J645" s="60" t="s">
        <v>2</v>
      </c>
      <c r="K645" s="60" t="s">
        <v>2</v>
      </c>
      <c r="L645" s="60" t="s">
        <v>87</v>
      </c>
      <c r="M645" s="60">
        <v>73</v>
      </c>
      <c r="N645" s="60" t="s">
        <v>87</v>
      </c>
      <c r="O645" s="60">
        <v>13</v>
      </c>
      <c r="P645" s="60" t="s">
        <v>718</v>
      </c>
      <c r="Q645" s="60" t="s">
        <v>19</v>
      </c>
      <c r="R645" s="60" t="s">
        <v>20</v>
      </c>
      <c r="S645" s="60" t="s">
        <v>92</v>
      </c>
      <c r="T645" s="60" t="s">
        <v>94</v>
      </c>
      <c r="U645" s="60" t="s">
        <v>93</v>
      </c>
      <c r="V645" s="60" t="s">
        <v>92</v>
      </c>
      <c r="W645" s="60" t="s">
        <v>93</v>
      </c>
      <c r="X645" s="63" t="s">
        <v>102</v>
      </c>
    </row>
    <row r="646" spans="1:24">
      <c r="A646" s="60">
        <v>110</v>
      </c>
      <c r="B646" s="61" t="s">
        <v>1153</v>
      </c>
      <c r="C646" s="62" t="s">
        <v>1154</v>
      </c>
      <c r="D646" s="62" t="s">
        <v>153</v>
      </c>
      <c r="E646" s="60" t="s">
        <v>146</v>
      </c>
      <c r="F646" s="60" t="s">
        <v>87</v>
      </c>
      <c r="G646" s="60" t="s">
        <v>88</v>
      </c>
      <c r="H646" s="60" t="s">
        <v>100</v>
      </c>
      <c r="I646" s="60" t="s">
        <v>101</v>
      </c>
      <c r="J646" s="60" t="s">
        <v>2</v>
      </c>
      <c r="K646" s="60" t="s">
        <v>2</v>
      </c>
      <c r="L646" s="60">
        <v>66</v>
      </c>
      <c r="M646" s="60" t="s">
        <v>87</v>
      </c>
      <c r="N646" s="60">
        <v>12</v>
      </c>
      <c r="O646" s="60" t="s">
        <v>87</v>
      </c>
      <c r="P646" s="60">
        <v>12</v>
      </c>
      <c r="Q646" s="60" t="s">
        <v>19</v>
      </c>
      <c r="R646" s="60" t="s">
        <v>20</v>
      </c>
      <c r="S646" s="60" t="s">
        <v>38</v>
      </c>
      <c r="T646" s="60" t="s">
        <v>94</v>
      </c>
      <c r="U646" s="60" t="s">
        <v>90</v>
      </c>
      <c r="V646" s="60" t="s">
        <v>92</v>
      </c>
      <c r="W646" s="60" t="s">
        <v>108</v>
      </c>
      <c r="X646" s="63" t="s">
        <v>102</v>
      </c>
    </row>
    <row r="647" spans="1:24">
      <c r="A647" s="60">
        <v>1006</v>
      </c>
      <c r="B647" s="61" t="s">
        <v>1155</v>
      </c>
      <c r="C647" s="62" t="s">
        <v>1156</v>
      </c>
      <c r="D647" s="62" t="s">
        <v>299</v>
      </c>
      <c r="E647" s="60" t="s">
        <v>98</v>
      </c>
      <c r="F647" s="60" t="s">
        <v>87</v>
      </c>
      <c r="G647" s="60" t="s">
        <v>117</v>
      </c>
      <c r="H647" s="60" t="s">
        <v>707</v>
      </c>
      <c r="I647" s="60" t="s">
        <v>90</v>
      </c>
      <c r="J647" s="60" t="s">
        <v>2</v>
      </c>
      <c r="K647" s="60" t="s">
        <v>2</v>
      </c>
      <c r="L647" s="60" t="s">
        <v>87</v>
      </c>
      <c r="M647" s="60">
        <v>24</v>
      </c>
      <c r="N647" s="60" t="s">
        <v>87</v>
      </c>
      <c r="O647" s="60">
        <v>9</v>
      </c>
      <c r="P647" s="60" t="s">
        <v>744</v>
      </c>
      <c r="Q647" s="60" t="s">
        <v>22</v>
      </c>
      <c r="R647" s="60" t="s">
        <v>92</v>
      </c>
      <c r="S647" s="60" t="s">
        <v>3</v>
      </c>
      <c r="T647" s="60" t="s">
        <v>94</v>
      </c>
      <c r="U647" s="60" t="s">
        <v>108</v>
      </c>
      <c r="V647" s="60" t="s">
        <v>92</v>
      </c>
      <c r="W647" s="60" t="s">
        <v>93</v>
      </c>
      <c r="X647" s="63" t="s">
        <v>95</v>
      </c>
    </row>
    <row r="648" spans="1:24">
      <c r="A648" s="60">
        <v>719</v>
      </c>
      <c r="B648" s="61" t="s">
        <v>1157</v>
      </c>
      <c r="C648" s="62" t="s">
        <v>653</v>
      </c>
      <c r="D648" s="62" t="s">
        <v>227</v>
      </c>
      <c r="E648" s="60" t="s">
        <v>328</v>
      </c>
      <c r="F648" s="60" t="s">
        <v>87</v>
      </c>
      <c r="G648" s="60" t="s">
        <v>99</v>
      </c>
      <c r="H648" s="60" t="s">
        <v>707</v>
      </c>
      <c r="I648" s="60" t="s">
        <v>101</v>
      </c>
      <c r="J648" s="60" t="s">
        <v>3</v>
      </c>
      <c r="K648" s="60" t="s">
        <v>3</v>
      </c>
      <c r="L648" s="60" t="s">
        <v>87</v>
      </c>
      <c r="M648" s="60">
        <v>35</v>
      </c>
      <c r="N648" s="60" t="s">
        <v>87</v>
      </c>
      <c r="O648" s="60">
        <v>14</v>
      </c>
      <c r="P648" s="60" t="s">
        <v>794</v>
      </c>
      <c r="Q648" s="60" t="s">
        <v>22</v>
      </c>
      <c r="R648" s="60" t="s">
        <v>21</v>
      </c>
      <c r="S648" s="60" t="s">
        <v>3</v>
      </c>
      <c r="T648" s="60" t="s">
        <v>94</v>
      </c>
      <c r="U648" s="60" t="s">
        <v>108</v>
      </c>
      <c r="V648" s="60" t="s">
        <v>92</v>
      </c>
      <c r="W648" s="60" t="s">
        <v>93</v>
      </c>
      <c r="X648" s="63" t="s">
        <v>102</v>
      </c>
    </row>
    <row r="649" spans="1:24">
      <c r="A649" s="60">
        <v>714</v>
      </c>
      <c r="B649" s="61" t="s">
        <v>652</v>
      </c>
      <c r="C649" s="62" t="s">
        <v>653</v>
      </c>
      <c r="D649" s="62" t="s">
        <v>206</v>
      </c>
      <c r="E649" s="60" t="s">
        <v>328</v>
      </c>
      <c r="F649" s="60" t="s">
        <v>87</v>
      </c>
      <c r="G649" s="60" t="s">
        <v>171</v>
      </c>
      <c r="H649" s="60" t="s">
        <v>707</v>
      </c>
      <c r="I649" s="60" t="s">
        <v>101</v>
      </c>
      <c r="J649" s="60" t="s">
        <v>2</v>
      </c>
      <c r="K649" s="60" t="s">
        <v>2</v>
      </c>
      <c r="L649" s="60" t="s">
        <v>87</v>
      </c>
      <c r="M649" s="60">
        <v>58</v>
      </c>
      <c r="N649" s="60" t="s">
        <v>87</v>
      </c>
      <c r="O649" s="60">
        <v>4</v>
      </c>
      <c r="P649" s="60" t="s">
        <v>754</v>
      </c>
      <c r="Q649" s="60" t="s">
        <v>22</v>
      </c>
      <c r="R649" s="60" t="s">
        <v>20</v>
      </c>
      <c r="S649" s="60" t="s">
        <v>92</v>
      </c>
      <c r="T649" s="60" t="s">
        <v>94</v>
      </c>
      <c r="U649" s="60" t="s">
        <v>108</v>
      </c>
      <c r="V649" s="60" t="s">
        <v>94</v>
      </c>
      <c r="W649" s="60" t="s">
        <v>90</v>
      </c>
      <c r="X649" s="63" t="s">
        <v>102</v>
      </c>
    </row>
    <row r="650" spans="1:24">
      <c r="A650" s="60">
        <v>1029</v>
      </c>
      <c r="B650" s="61" t="s">
        <v>1871</v>
      </c>
      <c r="C650" s="62" t="s">
        <v>1872</v>
      </c>
      <c r="D650" s="62" t="s">
        <v>201</v>
      </c>
      <c r="E650" s="60" t="s">
        <v>408</v>
      </c>
      <c r="F650" s="60" t="s">
        <v>170</v>
      </c>
      <c r="G650" s="60" t="s">
        <v>150</v>
      </c>
      <c r="H650" s="60" t="s">
        <v>707</v>
      </c>
      <c r="I650" s="60" t="s">
        <v>90</v>
      </c>
      <c r="J650" s="60" t="s">
        <v>3</v>
      </c>
      <c r="K650" s="60" t="s">
        <v>3</v>
      </c>
      <c r="L650" s="60" t="s">
        <v>87</v>
      </c>
      <c r="M650" s="60">
        <v>100</v>
      </c>
      <c r="N650" s="60" t="s">
        <v>87</v>
      </c>
      <c r="O650" s="60">
        <v>2</v>
      </c>
      <c r="P650" s="60" t="s">
        <v>807</v>
      </c>
      <c r="Q650" s="60" t="s">
        <v>92</v>
      </c>
      <c r="R650" s="60" t="s">
        <v>21</v>
      </c>
      <c r="S650" s="60" t="s">
        <v>92</v>
      </c>
      <c r="T650" s="60" t="s">
        <v>92</v>
      </c>
      <c r="U650" s="60" t="s">
        <v>101</v>
      </c>
      <c r="V650" s="60" t="s">
        <v>92</v>
      </c>
      <c r="W650" s="60" t="s">
        <v>93</v>
      </c>
      <c r="X650" s="63" t="s">
        <v>95</v>
      </c>
    </row>
    <row r="651" spans="1:24">
      <c r="A651" s="60">
        <v>892</v>
      </c>
      <c r="B651" s="61" t="s">
        <v>1436</v>
      </c>
      <c r="C651" s="62" t="s">
        <v>1437</v>
      </c>
      <c r="D651" s="62" t="s">
        <v>151</v>
      </c>
      <c r="E651" s="60" t="s">
        <v>266</v>
      </c>
      <c r="F651" s="60" t="s">
        <v>87</v>
      </c>
      <c r="G651" s="60" t="s">
        <v>99</v>
      </c>
      <c r="H651" s="60" t="s">
        <v>707</v>
      </c>
      <c r="I651" s="60" t="s">
        <v>90</v>
      </c>
      <c r="J651" s="60" t="s">
        <v>2</v>
      </c>
      <c r="K651" s="60" t="s">
        <v>2</v>
      </c>
      <c r="L651" s="60" t="s">
        <v>87</v>
      </c>
      <c r="M651" s="60">
        <v>68</v>
      </c>
      <c r="N651" s="60" t="s">
        <v>87</v>
      </c>
      <c r="O651" s="60">
        <v>10</v>
      </c>
      <c r="P651" s="60" t="s">
        <v>712</v>
      </c>
      <c r="Q651" s="60" t="s">
        <v>19</v>
      </c>
      <c r="R651" s="60" t="s">
        <v>21</v>
      </c>
      <c r="S651" s="60" t="s">
        <v>37</v>
      </c>
      <c r="T651" s="60" t="s">
        <v>94</v>
      </c>
      <c r="U651" s="60" t="s">
        <v>108</v>
      </c>
      <c r="V651" s="60" t="s">
        <v>92</v>
      </c>
      <c r="W651" s="60" t="s">
        <v>90</v>
      </c>
      <c r="X651" s="63" t="s">
        <v>95</v>
      </c>
    </row>
    <row r="652" spans="1:24">
      <c r="A652" s="60">
        <v>1002</v>
      </c>
      <c r="B652" s="61" t="s">
        <v>1438</v>
      </c>
      <c r="C652" s="62" t="s">
        <v>1439</v>
      </c>
      <c r="D652" s="62" t="s">
        <v>647</v>
      </c>
      <c r="E652" s="60" t="s">
        <v>169</v>
      </c>
      <c r="F652" s="60" t="s">
        <v>87</v>
      </c>
      <c r="G652" s="60" t="s">
        <v>112</v>
      </c>
      <c r="H652" s="60" t="s">
        <v>100</v>
      </c>
      <c r="I652" s="60" t="s">
        <v>90</v>
      </c>
      <c r="J652" s="60" t="s">
        <v>2</v>
      </c>
      <c r="K652" s="60" t="s">
        <v>2</v>
      </c>
      <c r="L652" s="60">
        <v>37</v>
      </c>
      <c r="M652" s="60">
        <v>1</v>
      </c>
      <c r="N652" s="60">
        <v>7</v>
      </c>
      <c r="O652" s="60" t="s">
        <v>633</v>
      </c>
      <c r="P652" s="60" t="s">
        <v>552</v>
      </c>
      <c r="Q652" s="60" t="s">
        <v>19</v>
      </c>
      <c r="R652" s="60" t="s">
        <v>92</v>
      </c>
      <c r="S652" s="60" t="s">
        <v>37</v>
      </c>
      <c r="T652" s="60" t="s">
        <v>94</v>
      </c>
      <c r="U652" s="60" t="s">
        <v>93</v>
      </c>
      <c r="V652" s="60" t="s">
        <v>94</v>
      </c>
      <c r="W652" s="60" t="s">
        <v>90</v>
      </c>
      <c r="X652" s="63" t="s">
        <v>95</v>
      </c>
    </row>
    <row r="653" spans="1:24">
      <c r="A653" s="60">
        <v>1213</v>
      </c>
      <c r="B653" s="61" t="s">
        <v>1873</v>
      </c>
      <c r="C653" s="62" t="s">
        <v>1874</v>
      </c>
      <c r="D653" s="62" t="s">
        <v>1875</v>
      </c>
      <c r="E653" s="60" t="s">
        <v>154</v>
      </c>
      <c r="F653" s="60" t="s">
        <v>170</v>
      </c>
      <c r="G653" s="60" t="s">
        <v>158</v>
      </c>
      <c r="H653" s="60" t="s">
        <v>707</v>
      </c>
      <c r="I653" s="60" t="s">
        <v>90</v>
      </c>
      <c r="J653" s="60" t="s">
        <v>2</v>
      </c>
      <c r="K653" s="60" t="s">
        <v>2</v>
      </c>
      <c r="L653" s="60" t="s">
        <v>87</v>
      </c>
      <c r="M653" s="60">
        <v>100</v>
      </c>
      <c r="N653" s="60" t="s">
        <v>87</v>
      </c>
      <c r="O653" s="60">
        <v>1</v>
      </c>
      <c r="P653" s="60" t="s">
        <v>729</v>
      </c>
      <c r="Q653" s="60" t="s">
        <v>22</v>
      </c>
      <c r="R653" s="60" t="s">
        <v>20</v>
      </c>
      <c r="S653" s="60" t="s">
        <v>38</v>
      </c>
      <c r="T653" s="60" t="s">
        <v>94</v>
      </c>
      <c r="U653" s="60" t="s">
        <v>90</v>
      </c>
      <c r="V653" s="60" t="s">
        <v>94</v>
      </c>
      <c r="W653" s="60" t="s">
        <v>101</v>
      </c>
      <c r="X653" s="63" t="s">
        <v>95</v>
      </c>
    </row>
    <row r="654" spans="1:24">
      <c r="A654" s="64">
        <v>1297</v>
      </c>
      <c r="B654" s="65" t="s">
        <v>1440</v>
      </c>
      <c r="C654" s="65" t="s">
        <v>1441</v>
      </c>
      <c r="D654" s="65" t="s">
        <v>258</v>
      </c>
      <c r="E654" s="64" t="s">
        <v>318</v>
      </c>
      <c r="F654" s="64" t="s">
        <v>87</v>
      </c>
      <c r="G654" s="64" t="s">
        <v>147</v>
      </c>
      <c r="H654" s="64" t="s">
        <v>707</v>
      </c>
      <c r="I654" s="64" t="s">
        <v>101</v>
      </c>
      <c r="J654" s="64" t="s">
        <v>2</v>
      </c>
      <c r="K654" s="64" t="s">
        <v>2</v>
      </c>
      <c r="L654" s="64" t="s">
        <v>87</v>
      </c>
      <c r="M654" s="64">
        <v>15</v>
      </c>
      <c r="N654" s="64" t="s">
        <v>87</v>
      </c>
      <c r="O654" s="64">
        <v>10</v>
      </c>
      <c r="P654" s="64" t="s">
        <v>712</v>
      </c>
      <c r="Q654" s="64" t="s">
        <v>24</v>
      </c>
      <c r="R654" s="64" t="s">
        <v>21</v>
      </c>
      <c r="S654" s="64" t="s">
        <v>92</v>
      </c>
      <c r="T654" s="64" t="s">
        <v>94</v>
      </c>
      <c r="U654" s="64" t="s">
        <v>108</v>
      </c>
      <c r="V654" s="64" t="s">
        <v>94</v>
      </c>
      <c r="W654" s="64" t="s">
        <v>93</v>
      </c>
      <c r="X654" s="64" t="s">
        <v>102</v>
      </c>
    </row>
    <row r="655" spans="1:24">
      <c r="A655" s="64">
        <v>59</v>
      </c>
      <c r="B655" s="65" t="s">
        <v>1159</v>
      </c>
      <c r="C655" s="65" t="s">
        <v>1160</v>
      </c>
      <c r="D655" s="65" t="s">
        <v>1161</v>
      </c>
      <c r="E655" s="64" t="s">
        <v>86</v>
      </c>
      <c r="F655" s="64" t="s">
        <v>87</v>
      </c>
      <c r="G655" s="64" t="s">
        <v>1503</v>
      </c>
      <c r="H655" s="64" t="s">
        <v>707</v>
      </c>
      <c r="I655" s="64" t="s">
        <v>101</v>
      </c>
      <c r="J655" s="64" t="s">
        <v>2</v>
      </c>
      <c r="K655" s="64" t="s">
        <v>2</v>
      </c>
      <c r="L655" s="64" t="s">
        <v>87</v>
      </c>
      <c r="M655" s="64">
        <v>41</v>
      </c>
      <c r="N655" s="64" t="s">
        <v>87</v>
      </c>
      <c r="O655" s="64">
        <v>17</v>
      </c>
      <c r="P655" s="64" t="s">
        <v>748</v>
      </c>
      <c r="Q655" s="64" t="s">
        <v>24</v>
      </c>
      <c r="R655" s="64" t="s">
        <v>20</v>
      </c>
      <c r="S655" s="64" t="s">
        <v>37</v>
      </c>
      <c r="T655" s="64" t="s">
        <v>94</v>
      </c>
      <c r="U655" s="64" t="s">
        <v>108</v>
      </c>
      <c r="V655" s="64" t="s">
        <v>94</v>
      </c>
      <c r="W655" s="64" t="s">
        <v>90</v>
      </c>
      <c r="X655" s="64" t="s">
        <v>102</v>
      </c>
    </row>
    <row r="656" spans="1:24">
      <c r="A656" s="64">
        <v>660</v>
      </c>
      <c r="B656" s="65" t="s">
        <v>1876</v>
      </c>
      <c r="C656" s="65" t="s">
        <v>1877</v>
      </c>
      <c r="D656" s="65" t="s">
        <v>110</v>
      </c>
      <c r="E656" s="64" t="s">
        <v>106</v>
      </c>
      <c r="F656" s="64" t="s">
        <v>170</v>
      </c>
      <c r="G656" s="64" t="s">
        <v>107</v>
      </c>
      <c r="H656" s="64" t="s">
        <v>89</v>
      </c>
      <c r="I656" s="64" t="s">
        <v>101</v>
      </c>
      <c r="J656" s="64" t="s">
        <v>2</v>
      </c>
      <c r="K656" s="64" t="s">
        <v>2</v>
      </c>
      <c r="L656" s="64">
        <v>200</v>
      </c>
      <c r="M656" s="64">
        <v>16</v>
      </c>
      <c r="N656" s="64">
        <v>2</v>
      </c>
      <c r="O656" s="64" t="s">
        <v>118</v>
      </c>
      <c r="P656" s="64" t="s">
        <v>1258</v>
      </c>
      <c r="Q656" s="64" t="s">
        <v>92</v>
      </c>
      <c r="R656" s="64" t="s">
        <v>92</v>
      </c>
      <c r="S656" s="64" t="s">
        <v>92</v>
      </c>
      <c r="T656" s="64" t="s">
        <v>92</v>
      </c>
      <c r="U656" s="64" t="s">
        <v>101</v>
      </c>
      <c r="V656" s="64" t="s">
        <v>92</v>
      </c>
      <c r="W656" s="64" t="s">
        <v>90</v>
      </c>
      <c r="X656" s="64" t="s">
        <v>102</v>
      </c>
    </row>
    <row r="657" spans="1:24">
      <c r="A657" s="64">
        <v>958</v>
      </c>
      <c r="B657" s="65" t="s">
        <v>1878</v>
      </c>
      <c r="C657" s="65" t="s">
        <v>1879</v>
      </c>
      <c r="D657" s="65" t="s">
        <v>110</v>
      </c>
      <c r="E657" s="64" t="s">
        <v>111</v>
      </c>
      <c r="F657" s="64" t="s">
        <v>87</v>
      </c>
      <c r="G657" s="64" t="s">
        <v>117</v>
      </c>
      <c r="H657" s="64" t="s">
        <v>707</v>
      </c>
      <c r="I657" s="64" t="s">
        <v>90</v>
      </c>
      <c r="J657" s="64" t="s">
        <v>2</v>
      </c>
      <c r="K657" s="64" t="s">
        <v>2</v>
      </c>
      <c r="L657" s="64" t="s">
        <v>87</v>
      </c>
      <c r="M657" s="64">
        <v>9</v>
      </c>
      <c r="N657" s="64" t="s">
        <v>87</v>
      </c>
      <c r="O657" s="64">
        <v>6</v>
      </c>
      <c r="P657" s="64" t="s">
        <v>740</v>
      </c>
      <c r="Q657" s="64" t="s">
        <v>92</v>
      </c>
      <c r="R657" s="64" t="s">
        <v>21</v>
      </c>
      <c r="S657" s="64" t="s">
        <v>38</v>
      </c>
      <c r="T657" s="64" t="s">
        <v>94</v>
      </c>
      <c r="U657" s="64" t="s">
        <v>108</v>
      </c>
      <c r="V657" s="64" t="s">
        <v>94</v>
      </c>
      <c r="W657" s="64" t="s">
        <v>93</v>
      </c>
      <c r="X657" s="64" t="s">
        <v>95</v>
      </c>
    </row>
    <row r="658" spans="1:24">
      <c r="A658" s="64">
        <v>202</v>
      </c>
      <c r="B658" s="65" t="s">
        <v>655</v>
      </c>
      <c r="C658" s="65" t="s">
        <v>656</v>
      </c>
      <c r="D658" s="65" t="s">
        <v>364</v>
      </c>
      <c r="E658" s="64" t="s">
        <v>218</v>
      </c>
      <c r="F658" s="64" t="s">
        <v>87</v>
      </c>
      <c r="G658" s="64" t="s">
        <v>171</v>
      </c>
      <c r="H658" s="64" t="s">
        <v>100</v>
      </c>
      <c r="I658" s="64" t="s">
        <v>90</v>
      </c>
      <c r="J658" s="64" t="s">
        <v>3</v>
      </c>
      <c r="K658" s="64" t="s">
        <v>3</v>
      </c>
      <c r="L658" s="64">
        <v>43</v>
      </c>
      <c r="M658" s="64" t="s">
        <v>87</v>
      </c>
      <c r="N658" s="64">
        <v>7</v>
      </c>
      <c r="O658" s="64" t="s">
        <v>87</v>
      </c>
      <c r="P658" s="64">
        <v>7</v>
      </c>
      <c r="Q658" s="64" t="s">
        <v>92</v>
      </c>
      <c r="R658" s="64" t="s">
        <v>92</v>
      </c>
      <c r="S658" s="64" t="s">
        <v>92</v>
      </c>
      <c r="T658" s="64" t="s">
        <v>94</v>
      </c>
      <c r="U658" s="64" t="s">
        <v>93</v>
      </c>
      <c r="V658" s="64" t="s">
        <v>92</v>
      </c>
      <c r="W658" s="64" t="s">
        <v>90</v>
      </c>
      <c r="X658" s="64" t="s">
        <v>95</v>
      </c>
    </row>
    <row r="659" spans="1:24">
      <c r="A659" s="64">
        <v>915</v>
      </c>
      <c r="B659" s="65" t="s">
        <v>1162</v>
      </c>
      <c r="C659" s="65" t="s">
        <v>1163</v>
      </c>
      <c r="D659" s="65" t="s">
        <v>753</v>
      </c>
      <c r="E659" s="64" t="s">
        <v>86</v>
      </c>
      <c r="F659" s="64" t="s">
        <v>87</v>
      </c>
      <c r="G659" s="64" t="s">
        <v>88</v>
      </c>
      <c r="H659" s="64" t="s">
        <v>707</v>
      </c>
      <c r="I659" s="64" t="s">
        <v>90</v>
      </c>
      <c r="J659" s="64" t="s">
        <v>2</v>
      </c>
      <c r="K659" s="64" t="s">
        <v>2</v>
      </c>
      <c r="L659" s="64" t="s">
        <v>87</v>
      </c>
      <c r="M659" s="64">
        <v>11</v>
      </c>
      <c r="N659" s="64" t="s">
        <v>87</v>
      </c>
      <c r="O659" s="64">
        <v>6</v>
      </c>
      <c r="P659" s="64" t="s">
        <v>740</v>
      </c>
      <c r="Q659" s="64" t="s">
        <v>92</v>
      </c>
      <c r="R659" s="64" t="s">
        <v>21</v>
      </c>
      <c r="S659" s="64" t="s">
        <v>23</v>
      </c>
      <c r="T659" s="64" t="s">
        <v>94</v>
      </c>
      <c r="U659" s="64" t="s">
        <v>108</v>
      </c>
      <c r="V659" s="64" t="s">
        <v>94</v>
      </c>
      <c r="W659" s="64" t="s">
        <v>90</v>
      </c>
      <c r="X659" s="64" t="s">
        <v>95</v>
      </c>
    </row>
    <row r="660" spans="1:24">
      <c r="A660" s="64">
        <v>1148</v>
      </c>
      <c r="B660" s="65" t="s">
        <v>1164</v>
      </c>
      <c r="C660" s="65" t="s">
        <v>1165</v>
      </c>
      <c r="D660" s="65" t="s">
        <v>962</v>
      </c>
      <c r="E660" s="64" t="s">
        <v>149</v>
      </c>
      <c r="F660" s="64" t="s">
        <v>170</v>
      </c>
      <c r="G660" s="64" t="s">
        <v>88</v>
      </c>
      <c r="H660" s="64" t="s">
        <v>707</v>
      </c>
      <c r="I660" s="64" t="s">
        <v>90</v>
      </c>
      <c r="J660" s="64" t="s">
        <v>3</v>
      </c>
      <c r="K660" s="64" t="s">
        <v>3</v>
      </c>
      <c r="L660" s="64" t="s">
        <v>87</v>
      </c>
      <c r="M660" s="64">
        <v>100</v>
      </c>
      <c r="N660" s="64" t="s">
        <v>87</v>
      </c>
      <c r="O660" s="64">
        <v>1</v>
      </c>
      <c r="P660" s="64" t="s">
        <v>729</v>
      </c>
      <c r="Q660" s="64" t="s">
        <v>92</v>
      </c>
      <c r="R660" s="64" t="s">
        <v>92</v>
      </c>
      <c r="S660" s="64" t="s">
        <v>38</v>
      </c>
      <c r="T660" s="64" t="s">
        <v>92</v>
      </c>
      <c r="U660" s="64" t="s">
        <v>108</v>
      </c>
      <c r="V660" s="64" t="s">
        <v>92</v>
      </c>
      <c r="W660" s="64" t="s">
        <v>93</v>
      </c>
      <c r="X660" s="64" t="s">
        <v>95</v>
      </c>
    </row>
    <row r="661" spans="1:24">
      <c r="A661" s="64">
        <v>975</v>
      </c>
      <c r="B661" s="65" t="s">
        <v>1880</v>
      </c>
      <c r="C661" s="65" t="s">
        <v>1881</v>
      </c>
      <c r="D661" s="65" t="s">
        <v>1882</v>
      </c>
      <c r="E661" s="64" t="s">
        <v>157</v>
      </c>
      <c r="F661" s="64" t="s">
        <v>87</v>
      </c>
      <c r="G661" s="64" t="s">
        <v>107</v>
      </c>
      <c r="H661" s="64" t="s">
        <v>89</v>
      </c>
      <c r="I661" s="64" t="s">
        <v>101</v>
      </c>
      <c r="J661" s="64" t="s">
        <v>71</v>
      </c>
      <c r="K661" s="64" t="s">
        <v>2</v>
      </c>
      <c r="L661" s="64">
        <v>38</v>
      </c>
      <c r="M661" s="64">
        <v>18</v>
      </c>
      <c r="N661" s="64">
        <v>6</v>
      </c>
      <c r="O661" s="64" t="s">
        <v>633</v>
      </c>
      <c r="P661" s="64" t="s">
        <v>1723</v>
      </c>
      <c r="Q661" s="64" t="s">
        <v>19</v>
      </c>
      <c r="R661" s="64" t="s">
        <v>21</v>
      </c>
      <c r="S661" s="64" t="s">
        <v>92</v>
      </c>
      <c r="T661" s="64" t="s">
        <v>94</v>
      </c>
      <c r="U661" s="64" t="s">
        <v>108</v>
      </c>
      <c r="V661" s="64" t="s">
        <v>92</v>
      </c>
      <c r="W661" s="64" t="s">
        <v>90</v>
      </c>
      <c r="X661" s="64" t="s">
        <v>102</v>
      </c>
    </row>
    <row r="662" spans="1:24">
      <c r="A662" s="64">
        <v>329</v>
      </c>
      <c r="B662" s="65" t="s">
        <v>1883</v>
      </c>
      <c r="C662" s="65" t="s">
        <v>1884</v>
      </c>
      <c r="D662" s="65" t="s">
        <v>1023</v>
      </c>
      <c r="E662" s="64" t="s">
        <v>50</v>
      </c>
      <c r="F662" s="64" t="s">
        <v>87</v>
      </c>
      <c r="G662" s="64" t="s">
        <v>88</v>
      </c>
      <c r="H662" s="64" t="s">
        <v>707</v>
      </c>
      <c r="I662" s="64" t="s">
        <v>101</v>
      </c>
      <c r="J662" s="64" t="s">
        <v>71</v>
      </c>
      <c r="K662" s="64" t="s">
        <v>3</v>
      </c>
      <c r="L662" s="64" t="s">
        <v>87</v>
      </c>
      <c r="M662" s="64">
        <v>29</v>
      </c>
      <c r="N662" s="64" t="s">
        <v>87</v>
      </c>
      <c r="O662" s="64">
        <v>7</v>
      </c>
      <c r="P662" s="64" t="s">
        <v>722</v>
      </c>
      <c r="Q662" s="64" t="s">
        <v>22</v>
      </c>
      <c r="R662" s="64" t="s">
        <v>21</v>
      </c>
      <c r="S662" s="64" t="s">
        <v>92</v>
      </c>
      <c r="T662" s="64" t="s">
        <v>94</v>
      </c>
      <c r="U662" s="64" t="s">
        <v>93</v>
      </c>
      <c r="V662" s="64" t="s">
        <v>94</v>
      </c>
      <c r="W662" s="64" t="s">
        <v>93</v>
      </c>
      <c r="X662" s="64" t="s">
        <v>102</v>
      </c>
    </row>
    <row r="663" spans="1:24">
      <c r="A663" s="64">
        <v>198</v>
      </c>
      <c r="B663" s="65" t="s">
        <v>657</v>
      </c>
      <c r="C663" s="65" t="s">
        <v>658</v>
      </c>
      <c r="D663" s="65" t="s">
        <v>659</v>
      </c>
      <c r="E663" s="64" t="s">
        <v>218</v>
      </c>
      <c r="F663" s="64" t="s">
        <v>87</v>
      </c>
      <c r="G663" s="64" t="s">
        <v>112</v>
      </c>
      <c r="H663" s="64" t="s">
        <v>100</v>
      </c>
      <c r="I663" s="64" t="s">
        <v>90</v>
      </c>
      <c r="J663" s="64" t="s">
        <v>2</v>
      </c>
      <c r="K663" s="64" t="s">
        <v>2</v>
      </c>
      <c r="L663" s="64">
        <v>164</v>
      </c>
      <c r="M663" s="64" t="s">
        <v>87</v>
      </c>
      <c r="N663" s="64">
        <v>8</v>
      </c>
      <c r="O663" s="64" t="s">
        <v>87</v>
      </c>
      <c r="P663" s="64">
        <v>8</v>
      </c>
      <c r="Q663" s="64" t="s">
        <v>19</v>
      </c>
      <c r="R663" s="64" t="s">
        <v>92</v>
      </c>
      <c r="S663" s="64" t="s">
        <v>92</v>
      </c>
      <c r="T663" s="64" t="s">
        <v>94</v>
      </c>
      <c r="U663" s="64" t="s">
        <v>108</v>
      </c>
      <c r="V663" s="64" t="s">
        <v>92</v>
      </c>
      <c r="W663" s="64" t="s">
        <v>108</v>
      </c>
      <c r="X663" s="64" t="s">
        <v>95</v>
      </c>
    </row>
    <row r="664" spans="1:24">
      <c r="A664" s="64">
        <v>150</v>
      </c>
      <c r="B664" s="65" t="s">
        <v>1885</v>
      </c>
      <c r="C664" s="65" t="s">
        <v>1886</v>
      </c>
      <c r="D664" s="65" t="s">
        <v>571</v>
      </c>
      <c r="E664" s="64" t="s">
        <v>111</v>
      </c>
      <c r="F664" s="64" t="s">
        <v>87</v>
      </c>
      <c r="G664" s="64" t="s">
        <v>112</v>
      </c>
      <c r="H664" s="64" t="s">
        <v>707</v>
      </c>
      <c r="I664" s="64" t="s">
        <v>101</v>
      </c>
      <c r="J664" s="64" t="s">
        <v>2</v>
      </c>
      <c r="K664" s="64" t="s">
        <v>2</v>
      </c>
      <c r="L664" s="64" t="s">
        <v>87</v>
      </c>
      <c r="M664" s="64">
        <v>27</v>
      </c>
      <c r="N664" s="64" t="s">
        <v>87</v>
      </c>
      <c r="O664" s="64">
        <v>17</v>
      </c>
      <c r="P664" s="64" t="s">
        <v>748</v>
      </c>
      <c r="Q664" s="64" t="s">
        <v>92</v>
      </c>
      <c r="R664" s="64" t="s">
        <v>21</v>
      </c>
      <c r="S664" s="64" t="s">
        <v>23</v>
      </c>
      <c r="T664" s="64" t="s">
        <v>94</v>
      </c>
      <c r="U664" s="64" t="s">
        <v>108</v>
      </c>
      <c r="V664" s="64" t="s">
        <v>92</v>
      </c>
      <c r="W664" s="64" t="s">
        <v>93</v>
      </c>
      <c r="X664" s="64" t="s">
        <v>102</v>
      </c>
    </row>
    <row r="665" spans="1:24">
      <c r="A665" s="64">
        <v>137</v>
      </c>
      <c r="B665" s="65" t="s">
        <v>660</v>
      </c>
      <c r="C665" s="65" t="s">
        <v>661</v>
      </c>
      <c r="D665" s="65" t="s">
        <v>353</v>
      </c>
      <c r="E665" s="64" t="s">
        <v>111</v>
      </c>
      <c r="F665" s="64" t="s">
        <v>87</v>
      </c>
      <c r="G665" s="64" t="s">
        <v>171</v>
      </c>
      <c r="H665" s="64" t="s">
        <v>100</v>
      </c>
      <c r="I665" s="64" t="s">
        <v>90</v>
      </c>
      <c r="J665" s="64" t="s">
        <v>2</v>
      </c>
      <c r="K665" s="64" t="s">
        <v>2</v>
      </c>
      <c r="L665" s="64">
        <v>134</v>
      </c>
      <c r="M665" s="64" t="s">
        <v>87</v>
      </c>
      <c r="N665" s="64">
        <v>9</v>
      </c>
      <c r="O665" s="64" t="s">
        <v>87</v>
      </c>
      <c r="P665" s="64">
        <v>9</v>
      </c>
      <c r="Q665" s="64" t="s">
        <v>22</v>
      </c>
      <c r="R665" s="64" t="s">
        <v>20</v>
      </c>
      <c r="S665" s="64" t="s">
        <v>92</v>
      </c>
      <c r="T665" s="64" t="s">
        <v>94</v>
      </c>
      <c r="U665" s="64" t="s">
        <v>90</v>
      </c>
      <c r="V665" s="64" t="s">
        <v>92</v>
      </c>
      <c r="W665" s="64" t="s">
        <v>101</v>
      </c>
      <c r="X665" s="64" t="s">
        <v>95</v>
      </c>
    </row>
    <row r="666" spans="1:24">
      <c r="A666" s="64">
        <v>1261</v>
      </c>
      <c r="B666" s="65" t="s">
        <v>1887</v>
      </c>
      <c r="C666" s="65" t="s">
        <v>1888</v>
      </c>
      <c r="D666" s="65" t="s">
        <v>965</v>
      </c>
      <c r="E666" s="64" t="s">
        <v>127</v>
      </c>
      <c r="F666" s="64" t="s">
        <v>87</v>
      </c>
      <c r="G666" s="64" t="s">
        <v>117</v>
      </c>
      <c r="H666" s="64" t="s">
        <v>89</v>
      </c>
      <c r="I666" s="64" t="s">
        <v>101</v>
      </c>
      <c r="J666" s="64" t="s">
        <v>2</v>
      </c>
      <c r="K666" s="64" t="s">
        <v>2</v>
      </c>
      <c r="L666" s="64">
        <v>23</v>
      </c>
      <c r="M666" s="64">
        <v>26</v>
      </c>
      <c r="N666" s="64">
        <v>6</v>
      </c>
      <c r="O666" s="64" t="s">
        <v>344</v>
      </c>
      <c r="P666" s="64" t="s">
        <v>1889</v>
      </c>
      <c r="Q666" s="64" t="s">
        <v>22</v>
      </c>
      <c r="R666" s="64" t="s">
        <v>92</v>
      </c>
      <c r="S666" s="64" t="s">
        <v>3</v>
      </c>
      <c r="T666" s="64" t="s">
        <v>94</v>
      </c>
      <c r="U666" s="64" t="s">
        <v>90</v>
      </c>
      <c r="V666" s="64" t="s">
        <v>92</v>
      </c>
      <c r="W666" s="64" t="s">
        <v>93</v>
      </c>
      <c r="X666" s="64" t="s">
        <v>102</v>
      </c>
    </row>
    <row r="667" spans="1:24">
      <c r="A667" s="64">
        <v>808</v>
      </c>
      <c r="B667" s="65" t="s">
        <v>662</v>
      </c>
      <c r="C667" s="65" t="s">
        <v>663</v>
      </c>
      <c r="D667" s="65" t="s">
        <v>206</v>
      </c>
      <c r="E667" s="64" t="s">
        <v>318</v>
      </c>
      <c r="F667" s="64" t="s">
        <v>87</v>
      </c>
      <c r="G667" s="64" t="s">
        <v>142</v>
      </c>
      <c r="H667" s="64" t="s">
        <v>707</v>
      </c>
      <c r="I667" s="64" t="s">
        <v>101</v>
      </c>
      <c r="J667" s="64" t="s">
        <v>2</v>
      </c>
      <c r="K667" s="64" t="s">
        <v>2</v>
      </c>
      <c r="L667" s="64" t="s">
        <v>87</v>
      </c>
      <c r="M667" s="64">
        <v>61</v>
      </c>
      <c r="N667" s="64" t="s">
        <v>87</v>
      </c>
      <c r="O667" s="64">
        <v>13</v>
      </c>
      <c r="P667" s="64" t="s">
        <v>718</v>
      </c>
      <c r="Q667" s="64" t="s">
        <v>22</v>
      </c>
      <c r="R667" s="64" t="s">
        <v>92</v>
      </c>
      <c r="S667" s="64" t="s">
        <v>92</v>
      </c>
      <c r="T667" s="64" t="s">
        <v>94</v>
      </c>
      <c r="U667" s="64" t="s">
        <v>90</v>
      </c>
      <c r="V667" s="64" t="s">
        <v>92</v>
      </c>
      <c r="W667" s="64" t="s">
        <v>90</v>
      </c>
      <c r="X667" s="64" t="s">
        <v>102</v>
      </c>
    </row>
    <row r="668" spans="1:24">
      <c r="A668" s="64">
        <v>567</v>
      </c>
      <c r="B668" s="65" t="s">
        <v>664</v>
      </c>
      <c r="C668" s="65" t="s">
        <v>665</v>
      </c>
      <c r="D668" s="65" t="s">
        <v>390</v>
      </c>
      <c r="E668" s="64" t="s">
        <v>128</v>
      </c>
      <c r="F668" s="64" t="s">
        <v>87</v>
      </c>
      <c r="G668" s="64" t="s">
        <v>99</v>
      </c>
      <c r="H668" s="64" t="s">
        <v>707</v>
      </c>
      <c r="I668" s="64" t="s">
        <v>90</v>
      </c>
      <c r="J668" s="64" t="s">
        <v>2</v>
      </c>
      <c r="K668" s="64" t="s">
        <v>2</v>
      </c>
      <c r="L668" s="64" t="s">
        <v>87</v>
      </c>
      <c r="M668" s="64">
        <v>50</v>
      </c>
      <c r="N668" s="64" t="s">
        <v>87</v>
      </c>
      <c r="O668" s="64">
        <v>9</v>
      </c>
      <c r="P668" s="64" t="s">
        <v>744</v>
      </c>
      <c r="Q668" s="64" t="s">
        <v>92</v>
      </c>
      <c r="R668" s="64" t="s">
        <v>20</v>
      </c>
      <c r="S668" s="64" t="s">
        <v>92</v>
      </c>
      <c r="T668" s="64" t="s">
        <v>92</v>
      </c>
      <c r="U668" s="64" t="s">
        <v>93</v>
      </c>
      <c r="V668" s="64" t="s">
        <v>92</v>
      </c>
      <c r="W668" s="64" t="s">
        <v>101</v>
      </c>
      <c r="X668" s="64" t="s">
        <v>95</v>
      </c>
    </row>
    <row r="669" spans="1:24">
      <c r="A669" s="64">
        <v>1308</v>
      </c>
      <c r="B669" s="65" t="s">
        <v>1166</v>
      </c>
      <c r="C669" s="65" t="s">
        <v>1167</v>
      </c>
      <c r="D669" s="65" t="s">
        <v>647</v>
      </c>
      <c r="E669" s="64" t="s">
        <v>209</v>
      </c>
      <c r="F669" s="64" t="s">
        <v>87</v>
      </c>
      <c r="G669" s="64" t="s">
        <v>164</v>
      </c>
      <c r="H669" s="64" t="s">
        <v>707</v>
      </c>
      <c r="I669" s="64" t="s">
        <v>90</v>
      </c>
      <c r="J669" s="64" t="s">
        <v>2</v>
      </c>
      <c r="K669" s="64" t="s">
        <v>2</v>
      </c>
      <c r="L669" s="64" t="s">
        <v>87</v>
      </c>
      <c r="M669" s="64">
        <v>23</v>
      </c>
      <c r="N669" s="64" t="s">
        <v>87</v>
      </c>
      <c r="O669" s="64">
        <v>13</v>
      </c>
      <c r="P669" s="64" t="s">
        <v>718</v>
      </c>
      <c r="Q669" s="64" t="s">
        <v>22</v>
      </c>
      <c r="R669" s="64" t="s">
        <v>92</v>
      </c>
      <c r="S669" s="64" t="s">
        <v>23</v>
      </c>
      <c r="T669" s="64" t="s">
        <v>94</v>
      </c>
      <c r="U669" s="64" t="s">
        <v>93</v>
      </c>
      <c r="V669" s="64" t="s">
        <v>94</v>
      </c>
      <c r="W669" s="64" t="s">
        <v>90</v>
      </c>
      <c r="X669" s="64" t="s">
        <v>95</v>
      </c>
    </row>
    <row r="670" spans="1:24">
      <c r="A670" s="64">
        <v>507</v>
      </c>
      <c r="B670" s="65" t="s">
        <v>1442</v>
      </c>
      <c r="C670" s="65" t="s">
        <v>1443</v>
      </c>
      <c r="D670" s="65" t="s">
        <v>1444</v>
      </c>
      <c r="E670" s="64" t="s">
        <v>149</v>
      </c>
      <c r="F670" s="64" t="s">
        <v>87</v>
      </c>
      <c r="G670" s="64" t="s">
        <v>112</v>
      </c>
      <c r="H670" s="64" t="s">
        <v>707</v>
      </c>
      <c r="I670" s="64" t="s">
        <v>101</v>
      </c>
      <c r="J670" s="64" t="s">
        <v>2</v>
      </c>
      <c r="K670" s="64" t="s">
        <v>2</v>
      </c>
      <c r="L670" s="64" t="s">
        <v>87</v>
      </c>
      <c r="M670" s="64">
        <v>34</v>
      </c>
      <c r="N670" s="64" t="s">
        <v>87</v>
      </c>
      <c r="O670" s="64">
        <v>18</v>
      </c>
      <c r="P670" s="64" t="s">
        <v>758</v>
      </c>
      <c r="Q670" s="64" t="s">
        <v>24</v>
      </c>
      <c r="R670" s="64" t="s">
        <v>92</v>
      </c>
      <c r="S670" s="64" t="s">
        <v>23</v>
      </c>
      <c r="T670" s="64" t="s">
        <v>94</v>
      </c>
      <c r="U670" s="64" t="s">
        <v>108</v>
      </c>
      <c r="V670" s="64" t="s">
        <v>94</v>
      </c>
      <c r="W670" s="64" t="s">
        <v>93</v>
      </c>
      <c r="X670" s="64" t="s">
        <v>102</v>
      </c>
    </row>
    <row r="671" spans="1:24">
      <c r="A671" s="64">
        <v>859</v>
      </c>
      <c r="B671" s="65" t="s">
        <v>62</v>
      </c>
      <c r="C671" s="65" t="s">
        <v>666</v>
      </c>
      <c r="D671" s="65" t="s">
        <v>262</v>
      </c>
      <c r="E671" s="64" t="s">
        <v>190</v>
      </c>
      <c r="F671" s="64" t="s">
        <v>87</v>
      </c>
      <c r="G671" s="64" t="s">
        <v>402</v>
      </c>
      <c r="H671" s="64" t="s">
        <v>100</v>
      </c>
      <c r="I671" s="64" t="s">
        <v>101</v>
      </c>
      <c r="J671" s="64" t="s">
        <v>2</v>
      </c>
      <c r="K671" s="64" t="s">
        <v>2</v>
      </c>
      <c r="L671" s="64">
        <v>116</v>
      </c>
      <c r="M671" s="64">
        <v>19</v>
      </c>
      <c r="N671" s="64">
        <v>7</v>
      </c>
      <c r="O671" s="64" t="s">
        <v>633</v>
      </c>
      <c r="P671" s="64" t="s">
        <v>552</v>
      </c>
      <c r="Q671" s="64" t="s">
        <v>92</v>
      </c>
      <c r="R671" s="64" t="s">
        <v>21</v>
      </c>
      <c r="S671" s="64" t="s">
        <v>92</v>
      </c>
      <c r="T671" s="64" t="s">
        <v>94</v>
      </c>
      <c r="U671" s="64" t="s">
        <v>90</v>
      </c>
      <c r="V671" s="64" t="s">
        <v>92</v>
      </c>
      <c r="W671" s="64" t="s">
        <v>93</v>
      </c>
      <c r="X671" s="64" t="s">
        <v>102</v>
      </c>
    </row>
    <row r="672" spans="1:24">
      <c r="A672" s="64">
        <v>196</v>
      </c>
      <c r="B672" s="65" t="s">
        <v>667</v>
      </c>
      <c r="C672" s="65" t="s">
        <v>668</v>
      </c>
      <c r="D672" s="65" t="s">
        <v>669</v>
      </c>
      <c r="E672" s="64" t="s">
        <v>218</v>
      </c>
      <c r="F672" s="64" t="s">
        <v>87</v>
      </c>
      <c r="G672" s="64" t="s">
        <v>142</v>
      </c>
      <c r="H672" s="64" t="s">
        <v>100</v>
      </c>
      <c r="I672" s="64" t="s">
        <v>90</v>
      </c>
      <c r="J672" s="64" t="s">
        <v>2</v>
      </c>
      <c r="K672" s="64" t="s">
        <v>2</v>
      </c>
      <c r="L672" s="64">
        <v>199</v>
      </c>
      <c r="M672" s="64">
        <v>2</v>
      </c>
      <c r="N672" s="64">
        <v>12</v>
      </c>
      <c r="O672" s="64" t="s">
        <v>603</v>
      </c>
      <c r="P672" s="64" t="s">
        <v>210</v>
      </c>
      <c r="Q672" s="64" t="s">
        <v>22</v>
      </c>
      <c r="R672" s="64" t="s">
        <v>92</v>
      </c>
      <c r="S672" s="64" t="s">
        <v>37</v>
      </c>
      <c r="T672" s="64" t="s">
        <v>94</v>
      </c>
      <c r="U672" s="64" t="s">
        <v>90</v>
      </c>
      <c r="V672" s="64" t="s">
        <v>92</v>
      </c>
      <c r="W672" s="64" t="s">
        <v>93</v>
      </c>
      <c r="X672" s="64" t="s">
        <v>95</v>
      </c>
    </row>
    <row r="673" spans="1:24">
      <c r="A673" s="64">
        <v>1288</v>
      </c>
      <c r="B673" s="65" t="s">
        <v>1890</v>
      </c>
      <c r="C673" s="65" t="s">
        <v>1891</v>
      </c>
      <c r="D673" s="65" t="s">
        <v>122</v>
      </c>
      <c r="E673" s="64" t="s">
        <v>194</v>
      </c>
      <c r="F673" s="64" t="s">
        <v>170</v>
      </c>
      <c r="G673" s="64" t="s">
        <v>164</v>
      </c>
      <c r="H673" s="64" t="s">
        <v>707</v>
      </c>
      <c r="I673" s="64" t="s">
        <v>90</v>
      </c>
      <c r="J673" s="64" t="s">
        <v>2</v>
      </c>
      <c r="K673" s="64" t="s">
        <v>2</v>
      </c>
      <c r="L673" s="64" t="s">
        <v>87</v>
      </c>
      <c r="M673" s="64">
        <v>100</v>
      </c>
      <c r="N673" s="64" t="s">
        <v>87</v>
      </c>
      <c r="O673" s="64">
        <v>2</v>
      </c>
      <c r="P673" s="64" t="s">
        <v>807</v>
      </c>
      <c r="Q673" s="64" t="s">
        <v>92</v>
      </c>
      <c r="R673" s="64" t="s">
        <v>92</v>
      </c>
      <c r="S673" s="64" t="s">
        <v>92</v>
      </c>
      <c r="T673" s="64" t="s">
        <v>92</v>
      </c>
      <c r="U673" s="64" t="s">
        <v>101</v>
      </c>
      <c r="V673" s="64" t="s">
        <v>92</v>
      </c>
      <c r="W673" s="64" t="s">
        <v>93</v>
      </c>
      <c r="X673" s="64" t="s">
        <v>95</v>
      </c>
    </row>
    <row r="674" spans="1:24">
      <c r="A674" s="64">
        <v>798</v>
      </c>
      <c r="B674" s="65" t="s">
        <v>670</v>
      </c>
      <c r="C674" s="65" t="s">
        <v>671</v>
      </c>
      <c r="D674" s="65" t="s">
        <v>299</v>
      </c>
      <c r="E674" s="64" t="s">
        <v>318</v>
      </c>
      <c r="F674" s="64" t="s">
        <v>87</v>
      </c>
      <c r="G674" s="64" t="s">
        <v>107</v>
      </c>
      <c r="H674" s="64" t="s">
        <v>100</v>
      </c>
      <c r="I674" s="64" t="s">
        <v>90</v>
      </c>
      <c r="J674" s="64" t="s">
        <v>2</v>
      </c>
      <c r="K674" s="64" t="s">
        <v>2</v>
      </c>
      <c r="L674" s="64">
        <v>182</v>
      </c>
      <c r="M674" s="64" t="s">
        <v>87</v>
      </c>
      <c r="N674" s="64">
        <v>13</v>
      </c>
      <c r="O674" s="64" t="s">
        <v>87</v>
      </c>
      <c r="P674" s="64">
        <v>13</v>
      </c>
      <c r="Q674" s="64" t="s">
        <v>22</v>
      </c>
      <c r="R674" s="64" t="s">
        <v>92</v>
      </c>
      <c r="S674" s="64" t="s">
        <v>92</v>
      </c>
      <c r="T674" s="64" t="s">
        <v>92</v>
      </c>
      <c r="U674" s="64" t="s">
        <v>90</v>
      </c>
      <c r="V674" s="64" t="s">
        <v>92</v>
      </c>
      <c r="W674" s="64" t="s">
        <v>90</v>
      </c>
      <c r="X674" s="64" t="s">
        <v>95</v>
      </c>
    </row>
    <row r="675" spans="1:24">
      <c r="A675" s="64">
        <v>531</v>
      </c>
      <c r="B675" s="65" t="s">
        <v>1445</v>
      </c>
      <c r="C675" s="65" t="s">
        <v>1446</v>
      </c>
      <c r="D675" s="65" t="s">
        <v>1447</v>
      </c>
      <c r="E675" s="64" t="s">
        <v>141</v>
      </c>
      <c r="F675" s="64" t="s">
        <v>87</v>
      </c>
      <c r="G675" s="64" t="s">
        <v>158</v>
      </c>
      <c r="H675" s="64" t="s">
        <v>100</v>
      </c>
      <c r="I675" s="64" t="s">
        <v>101</v>
      </c>
      <c r="J675" s="64" t="s">
        <v>3</v>
      </c>
      <c r="K675" s="64" t="s">
        <v>3</v>
      </c>
      <c r="L675" s="64">
        <v>32</v>
      </c>
      <c r="M675" s="64">
        <v>1</v>
      </c>
      <c r="N675" s="64">
        <v>7</v>
      </c>
      <c r="O675" s="64" t="s">
        <v>633</v>
      </c>
      <c r="P675" s="64" t="s">
        <v>552</v>
      </c>
      <c r="Q675" s="64" t="s">
        <v>19</v>
      </c>
      <c r="R675" s="64" t="s">
        <v>92</v>
      </c>
      <c r="S675" s="64" t="s">
        <v>3</v>
      </c>
      <c r="T675" s="64" t="s">
        <v>94</v>
      </c>
      <c r="U675" s="64" t="s">
        <v>101</v>
      </c>
      <c r="V675" s="64" t="s">
        <v>92</v>
      </c>
      <c r="W675" s="64" t="s">
        <v>108</v>
      </c>
      <c r="X675" s="64" t="s">
        <v>102</v>
      </c>
    </row>
    <row r="676" spans="1:24">
      <c r="A676" s="64">
        <v>1236</v>
      </c>
      <c r="B676" s="65" t="s">
        <v>1892</v>
      </c>
      <c r="C676" s="65" t="s">
        <v>1168</v>
      </c>
      <c r="D676" s="65" t="s">
        <v>214</v>
      </c>
      <c r="E676" s="64" t="s">
        <v>42</v>
      </c>
      <c r="F676" s="64" t="s">
        <v>170</v>
      </c>
      <c r="G676" s="64" t="s">
        <v>112</v>
      </c>
      <c r="H676" s="64" t="s">
        <v>100</v>
      </c>
      <c r="I676" s="64" t="s">
        <v>90</v>
      </c>
      <c r="J676" s="64" t="s">
        <v>2</v>
      </c>
      <c r="K676" s="64" t="s">
        <v>2</v>
      </c>
      <c r="L676" s="64">
        <v>200</v>
      </c>
      <c r="M676" s="64">
        <v>100</v>
      </c>
      <c r="N676" s="64">
        <v>1</v>
      </c>
      <c r="O676" s="64">
        <v>1</v>
      </c>
      <c r="P676" s="64" t="s">
        <v>255</v>
      </c>
      <c r="Q676" s="64" t="s">
        <v>92</v>
      </c>
      <c r="R676" s="64" t="s">
        <v>21</v>
      </c>
      <c r="S676" s="64" t="s">
        <v>37</v>
      </c>
      <c r="T676" s="64" t="s">
        <v>94</v>
      </c>
      <c r="U676" s="64" t="s">
        <v>108</v>
      </c>
      <c r="V676" s="64" t="s">
        <v>94</v>
      </c>
      <c r="W676" s="64" t="s">
        <v>93</v>
      </c>
      <c r="X676" s="64" t="s">
        <v>95</v>
      </c>
    </row>
    <row r="677" spans="1:24">
      <c r="A677" s="64">
        <v>1299</v>
      </c>
      <c r="B677" s="65" t="s">
        <v>672</v>
      </c>
      <c r="C677" s="65" t="s">
        <v>673</v>
      </c>
      <c r="D677" s="65" t="s">
        <v>674</v>
      </c>
      <c r="E677" s="64" t="s">
        <v>318</v>
      </c>
      <c r="F677" s="64" t="s">
        <v>87</v>
      </c>
      <c r="G677" s="64" t="s">
        <v>155</v>
      </c>
      <c r="H677" s="64" t="s">
        <v>100</v>
      </c>
      <c r="I677" s="64" t="s">
        <v>101</v>
      </c>
      <c r="J677" s="64" t="s">
        <v>2</v>
      </c>
      <c r="K677" s="64" t="s">
        <v>2</v>
      </c>
      <c r="L677" s="64">
        <v>25</v>
      </c>
      <c r="M677" s="64">
        <v>3</v>
      </c>
      <c r="N677" s="64">
        <v>15</v>
      </c>
      <c r="O677" s="64" t="s">
        <v>1397</v>
      </c>
      <c r="P677" s="64" t="s">
        <v>1893</v>
      </c>
      <c r="Q677" s="64" t="s">
        <v>92</v>
      </c>
      <c r="R677" s="64" t="s">
        <v>20</v>
      </c>
      <c r="S677" s="64" t="s">
        <v>23</v>
      </c>
      <c r="T677" s="64" t="s">
        <v>94</v>
      </c>
      <c r="U677" s="64" t="s">
        <v>93</v>
      </c>
      <c r="V677" s="64" t="s">
        <v>94</v>
      </c>
      <c r="W677" s="64" t="s">
        <v>93</v>
      </c>
      <c r="X677" s="64" t="s">
        <v>102</v>
      </c>
    </row>
    <row r="678" spans="1:24">
      <c r="A678" s="64">
        <v>1298</v>
      </c>
      <c r="B678" s="65" t="s">
        <v>1170</v>
      </c>
      <c r="C678" s="65" t="s">
        <v>1171</v>
      </c>
      <c r="D678" s="65" t="s">
        <v>470</v>
      </c>
      <c r="E678" s="64" t="s">
        <v>318</v>
      </c>
      <c r="F678" s="64" t="s">
        <v>87</v>
      </c>
      <c r="G678" s="64" t="s">
        <v>99</v>
      </c>
      <c r="H678" s="64" t="s">
        <v>707</v>
      </c>
      <c r="I678" s="64" t="s">
        <v>90</v>
      </c>
      <c r="J678" s="64" t="s">
        <v>2</v>
      </c>
      <c r="K678" s="64" t="s">
        <v>2</v>
      </c>
      <c r="L678" s="64" t="s">
        <v>87</v>
      </c>
      <c r="M678" s="64">
        <v>11</v>
      </c>
      <c r="N678" s="64" t="s">
        <v>87</v>
      </c>
      <c r="O678" s="64">
        <v>13</v>
      </c>
      <c r="P678" s="64" t="s">
        <v>718</v>
      </c>
      <c r="Q678" s="64" t="s">
        <v>24</v>
      </c>
      <c r="R678" s="64" t="s">
        <v>92</v>
      </c>
      <c r="S678" s="64" t="s">
        <v>23</v>
      </c>
      <c r="T678" s="64" t="s">
        <v>94</v>
      </c>
      <c r="U678" s="64" t="s">
        <v>108</v>
      </c>
      <c r="V678" s="64" t="s">
        <v>94</v>
      </c>
      <c r="W678" s="64" t="s">
        <v>93</v>
      </c>
      <c r="X678" s="64" t="s">
        <v>95</v>
      </c>
    </row>
    <row r="679" spans="1:24">
      <c r="A679" s="64">
        <v>347</v>
      </c>
      <c r="B679" s="65" t="s">
        <v>675</v>
      </c>
      <c r="C679" s="65" t="s">
        <v>676</v>
      </c>
      <c r="D679" s="65" t="s">
        <v>677</v>
      </c>
      <c r="E679" s="64" t="s">
        <v>152</v>
      </c>
      <c r="F679" s="64" t="s">
        <v>87</v>
      </c>
      <c r="G679" s="64" t="s">
        <v>147</v>
      </c>
      <c r="H679" s="64" t="s">
        <v>100</v>
      </c>
      <c r="I679" s="64" t="s">
        <v>90</v>
      </c>
      <c r="J679" s="64" t="s">
        <v>2</v>
      </c>
      <c r="K679" s="64" t="s">
        <v>2</v>
      </c>
      <c r="L679" s="64">
        <v>170</v>
      </c>
      <c r="M679" s="64" t="s">
        <v>87</v>
      </c>
      <c r="N679" s="64">
        <v>5</v>
      </c>
      <c r="O679" s="64" t="s">
        <v>87</v>
      </c>
      <c r="P679" s="64">
        <v>5</v>
      </c>
      <c r="Q679" s="64" t="s">
        <v>22</v>
      </c>
      <c r="R679" s="64" t="s">
        <v>20</v>
      </c>
      <c r="S679" s="64" t="s">
        <v>3</v>
      </c>
      <c r="T679" s="64" t="s">
        <v>92</v>
      </c>
      <c r="U679" s="64" t="s">
        <v>101</v>
      </c>
      <c r="V679" s="64" t="s">
        <v>92</v>
      </c>
      <c r="W679" s="64" t="s">
        <v>101</v>
      </c>
      <c r="X679" s="64" t="s">
        <v>95</v>
      </c>
    </row>
    <row r="680" spans="1:24">
      <c r="A680" s="64">
        <v>290</v>
      </c>
      <c r="B680" s="65" t="s">
        <v>678</v>
      </c>
      <c r="C680" s="65" t="s">
        <v>679</v>
      </c>
      <c r="D680" s="65" t="s">
        <v>674</v>
      </c>
      <c r="E680" s="64" t="s">
        <v>408</v>
      </c>
      <c r="F680" s="64" t="s">
        <v>87</v>
      </c>
      <c r="G680" s="64" t="s">
        <v>99</v>
      </c>
      <c r="H680" s="64" t="s">
        <v>89</v>
      </c>
      <c r="I680" s="64" t="s">
        <v>101</v>
      </c>
      <c r="J680" s="64" t="s">
        <v>2</v>
      </c>
      <c r="K680" s="64" t="s">
        <v>2</v>
      </c>
      <c r="L680" s="64">
        <v>96</v>
      </c>
      <c r="M680" s="64">
        <v>36</v>
      </c>
      <c r="N680" s="64">
        <v>11</v>
      </c>
      <c r="O680" s="64" t="s">
        <v>322</v>
      </c>
      <c r="P680" s="64" t="s">
        <v>1894</v>
      </c>
      <c r="Q680" s="64" t="s">
        <v>22</v>
      </c>
      <c r="R680" s="64" t="s">
        <v>92</v>
      </c>
      <c r="S680" s="64" t="s">
        <v>37</v>
      </c>
      <c r="T680" s="64" t="s">
        <v>94</v>
      </c>
      <c r="U680" s="64" t="s">
        <v>108</v>
      </c>
      <c r="V680" s="64" t="s">
        <v>92</v>
      </c>
      <c r="W680" s="64" t="s">
        <v>90</v>
      </c>
      <c r="X680" s="64" t="s">
        <v>102</v>
      </c>
    </row>
    <row r="681" spans="1:24">
      <c r="A681" s="64">
        <v>773</v>
      </c>
      <c r="B681" s="65" t="s">
        <v>1172</v>
      </c>
      <c r="C681" s="65" t="s">
        <v>1173</v>
      </c>
      <c r="D681" s="65" t="s">
        <v>224</v>
      </c>
      <c r="E681" s="64" t="s">
        <v>194</v>
      </c>
      <c r="F681" s="64" t="s">
        <v>87</v>
      </c>
      <c r="G681" s="64" t="s">
        <v>88</v>
      </c>
      <c r="H681" s="64" t="s">
        <v>707</v>
      </c>
      <c r="I681" s="64" t="s">
        <v>101</v>
      </c>
      <c r="J681" s="64" t="s">
        <v>3</v>
      </c>
      <c r="K681" s="64" t="s">
        <v>3</v>
      </c>
      <c r="L681" s="64" t="s">
        <v>87</v>
      </c>
      <c r="M681" s="64">
        <v>76</v>
      </c>
      <c r="N681" s="64" t="s">
        <v>87</v>
      </c>
      <c r="O681" s="64">
        <v>17</v>
      </c>
      <c r="P681" s="64" t="s">
        <v>748</v>
      </c>
      <c r="Q681" s="64" t="s">
        <v>22</v>
      </c>
      <c r="R681" s="64" t="s">
        <v>20</v>
      </c>
      <c r="S681" s="64" t="s">
        <v>23</v>
      </c>
      <c r="T681" s="64" t="s">
        <v>94</v>
      </c>
      <c r="U681" s="64" t="s">
        <v>90</v>
      </c>
      <c r="V681" s="64" t="s">
        <v>92</v>
      </c>
      <c r="W681" s="64" t="s">
        <v>93</v>
      </c>
      <c r="X681" s="64" t="s">
        <v>102</v>
      </c>
    </row>
    <row r="682" spans="1:24">
      <c r="A682" s="64">
        <v>228</v>
      </c>
      <c r="B682" s="65" t="s">
        <v>680</v>
      </c>
      <c r="C682" s="65" t="s">
        <v>681</v>
      </c>
      <c r="D682" s="65" t="s">
        <v>682</v>
      </c>
      <c r="E682" s="64" t="s">
        <v>169</v>
      </c>
      <c r="F682" s="64" t="s">
        <v>87</v>
      </c>
      <c r="G682" s="64" t="s">
        <v>171</v>
      </c>
      <c r="H682" s="64" t="s">
        <v>100</v>
      </c>
      <c r="I682" s="64" t="s">
        <v>90</v>
      </c>
      <c r="J682" s="64" t="s">
        <v>2</v>
      </c>
      <c r="K682" s="64" t="s">
        <v>2</v>
      </c>
      <c r="L682" s="64">
        <v>159</v>
      </c>
      <c r="M682" s="64" t="s">
        <v>87</v>
      </c>
      <c r="N682" s="64">
        <v>3</v>
      </c>
      <c r="O682" s="64" t="s">
        <v>87</v>
      </c>
      <c r="P682" s="64">
        <v>3</v>
      </c>
      <c r="Q682" s="64" t="s">
        <v>92</v>
      </c>
      <c r="R682" s="64" t="s">
        <v>20</v>
      </c>
      <c r="S682" s="64" t="s">
        <v>3</v>
      </c>
      <c r="T682" s="64" t="s">
        <v>94</v>
      </c>
      <c r="U682" s="64" t="s">
        <v>90</v>
      </c>
      <c r="V682" s="64" t="s">
        <v>92</v>
      </c>
      <c r="W682" s="64" t="s">
        <v>90</v>
      </c>
      <c r="X682" s="64" t="s">
        <v>95</v>
      </c>
    </row>
    <row r="683" spans="1:24">
      <c r="A683" s="64">
        <v>88</v>
      </c>
      <c r="B683" s="65" t="s">
        <v>1174</v>
      </c>
      <c r="C683" s="65" t="s">
        <v>1175</v>
      </c>
      <c r="D683" s="65" t="s">
        <v>749</v>
      </c>
      <c r="E683" s="64" t="s">
        <v>133</v>
      </c>
      <c r="F683" s="64" t="s">
        <v>87</v>
      </c>
      <c r="G683" s="64" t="s">
        <v>117</v>
      </c>
      <c r="H683" s="64" t="s">
        <v>707</v>
      </c>
      <c r="I683" s="64" t="s">
        <v>90</v>
      </c>
      <c r="J683" s="64" t="s">
        <v>2</v>
      </c>
      <c r="K683" s="64" t="s">
        <v>2</v>
      </c>
      <c r="L683" s="64" t="s">
        <v>87</v>
      </c>
      <c r="M683" s="64">
        <v>30</v>
      </c>
      <c r="N683" s="64" t="s">
        <v>87</v>
      </c>
      <c r="O683" s="64">
        <v>4</v>
      </c>
      <c r="P683" s="64" t="s">
        <v>754</v>
      </c>
      <c r="Q683" s="64" t="s">
        <v>92</v>
      </c>
      <c r="R683" s="64" t="s">
        <v>21</v>
      </c>
      <c r="S683" s="64" t="s">
        <v>92</v>
      </c>
      <c r="T683" s="64" t="s">
        <v>94</v>
      </c>
      <c r="U683" s="64" t="s">
        <v>108</v>
      </c>
      <c r="V683" s="64" t="s">
        <v>92</v>
      </c>
      <c r="W683" s="64" t="s">
        <v>93</v>
      </c>
      <c r="X683" s="64" t="s">
        <v>95</v>
      </c>
    </row>
    <row r="684" spans="1:24">
      <c r="A684" s="64">
        <v>115</v>
      </c>
      <c r="B684" s="65" t="s">
        <v>1176</v>
      </c>
      <c r="C684" s="65" t="s">
        <v>1175</v>
      </c>
      <c r="D684" s="65" t="s">
        <v>262</v>
      </c>
      <c r="E684" s="64" t="s">
        <v>146</v>
      </c>
      <c r="F684" s="64" t="s">
        <v>87</v>
      </c>
      <c r="G684" s="64" t="s">
        <v>182</v>
      </c>
      <c r="H684" s="64" t="s">
        <v>707</v>
      </c>
      <c r="I684" s="64" t="s">
        <v>101</v>
      </c>
      <c r="J684" s="64" t="s">
        <v>2</v>
      </c>
      <c r="K684" s="64" t="s">
        <v>2</v>
      </c>
      <c r="L684" s="64" t="s">
        <v>87</v>
      </c>
      <c r="M684" s="64">
        <v>51</v>
      </c>
      <c r="N684" s="64" t="s">
        <v>87</v>
      </c>
      <c r="O684" s="64">
        <v>12</v>
      </c>
      <c r="P684" s="64" t="s">
        <v>782</v>
      </c>
      <c r="Q684" s="64" t="s">
        <v>92</v>
      </c>
      <c r="R684" s="64" t="s">
        <v>20</v>
      </c>
      <c r="S684" s="64" t="s">
        <v>37</v>
      </c>
      <c r="T684" s="64" t="s">
        <v>94</v>
      </c>
      <c r="U684" s="64" t="s">
        <v>90</v>
      </c>
      <c r="V684" s="64" t="s">
        <v>92</v>
      </c>
      <c r="W684" s="64" t="s">
        <v>93</v>
      </c>
      <c r="X684" s="64" t="s">
        <v>102</v>
      </c>
    </row>
    <row r="685" spans="1:24">
      <c r="A685" s="64">
        <v>1149</v>
      </c>
      <c r="B685" s="65" t="s">
        <v>1895</v>
      </c>
      <c r="C685" s="65" t="s">
        <v>1896</v>
      </c>
      <c r="D685" s="65" t="s">
        <v>262</v>
      </c>
      <c r="E685" s="64" t="s">
        <v>149</v>
      </c>
      <c r="F685" s="64" t="s">
        <v>87</v>
      </c>
      <c r="G685" s="64" t="s">
        <v>112</v>
      </c>
      <c r="H685" s="64" t="s">
        <v>100</v>
      </c>
      <c r="I685" s="64" t="s">
        <v>90</v>
      </c>
      <c r="J685" s="64" t="s">
        <v>2</v>
      </c>
      <c r="K685" s="64" t="s">
        <v>2</v>
      </c>
      <c r="L685" s="64">
        <v>29</v>
      </c>
      <c r="M685" s="64" t="s">
        <v>87</v>
      </c>
      <c r="N685" s="64">
        <v>3</v>
      </c>
      <c r="O685" s="64" t="s">
        <v>87</v>
      </c>
      <c r="P685" s="64">
        <v>3</v>
      </c>
      <c r="Q685" s="64" t="s">
        <v>92</v>
      </c>
      <c r="R685" s="64" t="s">
        <v>20</v>
      </c>
      <c r="S685" s="64" t="s">
        <v>92</v>
      </c>
      <c r="T685" s="64" t="s">
        <v>94</v>
      </c>
      <c r="U685" s="64" t="s">
        <v>93</v>
      </c>
      <c r="V685" s="64" t="s">
        <v>92</v>
      </c>
      <c r="W685" s="64" t="s">
        <v>108</v>
      </c>
      <c r="X685" s="64" t="s">
        <v>95</v>
      </c>
    </row>
    <row r="686" spans="1:24">
      <c r="A686" s="64">
        <v>1127</v>
      </c>
      <c r="B686" s="65" t="s">
        <v>683</v>
      </c>
      <c r="C686" s="65" t="s">
        <v>684</v>
      </c>
      <c r="D686" s="65" t="s">
        <v>685</v>
      </c>
      <c r="E686" s="64" t="s">
        <v>197</v>
      </c>
      <c r="F686" s="64" t="s">
        <v>87</v>
      </c>
      <c r="G686" s="64" t="s">
        <v>117</v>
      </c>
      <c r="H686" s="64" t="s">
        <v>100</v>
      </c>
      <c r="I686" s="64" t="s">
        <v>90</v>
      </c>
      <c r="J686" s="64" t="s">
        <v>2</v>
      </c>
      <c r="K686" s="64" t="s">
        <v>2</v>
      </c>
      <c r="L686" s="64">
        <v>24</v>
      </c>
      <c r="M686" s="64">
        <v>7</v>
      </c>
      <c r="N686" s="64">
        <v>4</v>
      </c>
      <c r="O686" s="64" t="s">
        <v>118</v>
      </c>
      <c r="P686" s="64" t="s">
        <v>174</v>
      </c>
      <c r="Q686" s="64" t="s">
        <v>92</v>
      </c>
      <c r="R686" s="64" t="s">
        <v>21</v>
      </c>
      <c r="S686" s="64" t="s">
        <v>38</v>
      </c>
      <c r="T686" s="64" t="s">
        <v>94</v>
      </c>
      <c r="U686" s="64" t="s">
        <v>101</v>
      </c>
      <c r="V686" s="64" t="s">
        <v>92</v>
      </c>
      <c r="W686" s="64" t="s">
        <v>93</v>
      </c>
      <c r="X686" s="64" t="s">
        <v>95</v>
      </c>
    </row>
    <row r="687" spans="1:24">
      <c r="A687" s="64">
        <v>1210</v>
      </c>
      <c r="B687" s="65" t="s">
        <v>1455</v>
      </c>
      <c r="C687" s="65" t="s">
        <v>1456</v>
      </c>
      <c r="D687" s="65" t="s">
        <v>201</v>
      </c>
      <c r="E687" s="64" t="s">
        <v>154</v>
      </c>
      <c r="F687" s="64" t="s">
        <v>170</v>
      </c>
      <c r="G687" s="64" t="s">
        <v>150</v>
      </c>
      <c r="H687" s="64" t="s">
        <v>707</v>
      </c>
      <c r="I687" s="64" t="s">
        <v>90</v>
      </c>
      <c r="J687" s="64" t="s">
        <v>2</v>
      </c>
      <c r="K687" s="64" t="s">
        <v>2</v>
      </c>
      <c r="L687" s="64" t="s">
        <v>87</v>
      </c>
      <c r="M687" s="64">
        <v>100</v>
      </c>
      <c r="N687" s="64" t="s">
        <v>87</v>
      </c>
      <c r="O687" s="64">
        <v>2</v>
      </c>
      <c r="P687" s="64" t="s">
        <v>807</v>
      </c>
      <c r="Q687" s="64" t="s">
        <v>92</v>
      </c>
      <c r="R687" s="64" t="s">
        <v>92</v>
      </c>
      <c r="S687" s="64" t="s">
        <v>92</v>
      </c>
      <c r="T687" s="64" t="s">
        <v>92</v>
      </c>
      <c r="U687" s="64" t="s">
        <v>101</v>
      </c>
      <c r="V687" s="64" t="s">
        <v>92</v>
      </c>
      <c r="W687" s="64" t="s">
        <v>93</v>
      </c>
      <c r="X687" s="64" t="s">
        <v>95</v>
      </c>
    </row>
    <row r="688" spans="1:24">
      <c r="A688" s="64">
        <v>1021</v>
      </c>
      <c r="B688" s="65" t="s">
        <v>1448</v>
      </c>
      <c r="C688" s="65" t="s">
        <v>1449</v>
      </c>
      <c r="D688" s="65" t="s">
        <v>1252</v>
      </c>
      <c r="E688" s="64" t="s">
        <v>408</v>
      </c>
      <c r="F688" s="64" t="s">
        <v>87</v>
      </c>
      <c r="G688" s="64" t="s">
        <v>150</v>
      </c>
      <c r="H688" s="64" t="s">
        <v>100</v>
      </c>
      <c r="I688" s="64" t="s">
        <v>90</v>
      </c>
      <c r="J688" s="64" t="s">
        <v>2</v>
      </c>
      <c r="K688" s="64" t="s">
        <v>2</v>
      </c>
      <c r="L688" s="64">
        <v>20</v>
      </c>
      <c r="M688" s="64" t="s">
        <v>87</v>
      </c>
      <c r="N688" s="64">
        <v>4</v>
      </c>
      <c r="O688" s="64" t="s">
        <v>87</v>
      </c>
      <c r="P688" s="64">
        <v>4</v>
      </c>
      <c r="Q688" s="64" t="s">
        <v>22</v>
      </c>
      <c r="R688" s="64" t="s">
        <v>20</v>
      </c>
      <c r="S688" s="64" t="s">
        <v>3</v>
      </c>
      <c r="T688" s="64" t="s">
        <v>94</v>
      </c>
      <c r="U688" s="64" t="s">
        <v>108</v>
      </c>
      <c r="V688" s="64" t="s">
        <v>92</v>
      </c>
      <c r="W688" s="64" t="s">
        <v>90</v>
      </c>
      <c r="X688" s="64" t="s">
        <v>95</v>
      </c>
    </row>
    <row r="689" spans="1:24">
      <c r="A689" s="64">
        <v>1209</v>
      </c>
      <c r="B689" s="65" t="s">
        <v>1450</v>
      </c>
      <c r="C689" s="65" t="s">
        <v>1451</v>
      </c>
      <c r="D689" s="65" t="s">
        <v>168</v>
      </c>
      <c r="E689" s="64" t="s">
        <v>154</v>
      </c>
      <c r="F689" s="64" t="s">
        <v>170</v>
      </c>
      <c r="G689" s="64" t="s">
        <v>117</v>
      </c>
      <c r="H689" s="64" t="s">
        <v>100</v>
      </c>
      <c r="I689" s="64" t="s">
        <v>90</v>
      </c>
      <c r="J689" s="64" t="s">
        <v>2</v>
      </c>
      <c r="K689" s="64" t="s">
        <v>2</v>
      </c>
      <c r="L689" s="64">
        <v>200</v>
      </c>
      <c r="M689" s="64">
        <v>100</v>
      </c>
      <c r="N689" s="64">
        <v>1</v>
      </c>
      <c r="O689" s="64">
        <v>1</v>
      </c>
      <c r="P689" s="64" t="s">
        <v>255</v>
      </c>
      <c r="Q689" s="64" t="s">
        <v>92</v>
      </c>
      <c r="R689" s="64" t="s">
        <v>21</v>
      </c>
      <c r="S689" s="64" t="s">
        <v>38</v>
      </c>
      <c r="T689" s="64" t="s">
        <v>94</v>
      </c>
      <c r="U689" s="64" t="s">
        <v>90</v>
      </c>
      <c r="V689" s="64" t="s">
        <v>94</v>
      </c>
      <c r="W689" s="64" t="s">
        <v>93</v>
      </c>
      <c r="X689" s="64" t="s">
        <v>95</v>
      </c>
    </row>
    <row r="690" spans="1:24">
      <c r="A690" s="64">
        <v>353</v>
      </c>
      <c r="B690" s="65" t="s">
        <v>1177</v>
      </c>
      <c r="C690" s="65" t="s">
        <v>1178</v>
      </c>
      <c r="D690" s="65" t="s">
        <v>343</v>
      </c>
      <c r="E690" s="64" t="s">
        <v>152</v>
      </c>
      <c r="F690" s="64" t="s">
        <v>87</v>
      </c>
      <c r="G690" s="64" t="s">
        <v>142</v>
      </c>
      <c r="H690" s="64" t="s">
        <v>707</v>
      </c>
      <c r="I690" s="64" t="s">
        <v>101</v>
      </c>
      <c r="J690" s="64" t="s">
        <v>2</v>
      </c>
      <c r="K690" s="64" t="s">
        <v>2</v>
      </c>
      <c r="L690" s="64" t="s">
        <v>87</v>
      </c>
      <c r="M690" s="64">
        <v>62</v>
      </c>
      <c r="N690" s="64" t="s">
        <v>87</v>
      </c>
      <c r="O690" s="64">
        <v>15</v>
      </c>
      <c r="P690" s="64" t="s">
        <v>836</v>
      </c>
      <c r="Q690" s="64" t="s">
        <v>19</v>
      </c>
      <c r="R690" s="64" t="s">
        <v>21</v>
      </c>
      <c r="S690" s="64" t="s">
        <v>23</v>
      </c>
      <c r="T690" s="64" t="s">
        <v>94</v>
      </c>
      <c r="U690" s="64" t="s">
        <v>101</v>
      </c>
      <c r="V690" s="64" t="s">
        <v>92</v>
      </c>
      <c r="W690" s="64" t="s">
        <v>90</v>
      </c>
      <c r="X690" s="64" t="s">
        <v>102</v>
      </c>
    </row>
    <row r="691" spans="1:24">
      <c r="A691" s="64">
        <v>1000</v>
      </c>
      <c r="B691" s="65" t="s">
        <v>1897</v>
      </c>
      <c r="C691" s="65" t="s">
        <v>1898</v>
      </c>
      <c r="D691" s="65" t="s">
        <v>674</v>
      </c>
      <c r="E691" s="64" t="s">
        <v>169</v>
      </c>
      <c r="F691" s="64" t="s">
        <v>170</v>
      </c>
      <c r="G691" s="64" t="s">
        <v>99</v>
      </c>
      <c r="H691" s="64" t="s">
        <v>707</v>
      </c>
      <c r="I691" s="64" t="s">
        <v>90</v>
      </c>
      <c r="J691" s="64" t="s">
        <v>3</v>
      </c>
      <c r="K691" s="64" t="s">
        <v>3</v>
      </c>
      <c r="L691" s="64" t="s">
        <v>87</v>
      </c>
      <c r="M691" s="64">
        <v>100</v>
      </c>
      <c r="N691" s="64" t="s">
        <v>87</v>
      </c>
      <c r="O691" s="64">
        <v>2</v>
      </c>
      <c r="P691" s="64" t="s">
        <v>807</v>
      </c>
      <c r="Q691" s="64" t="s">
        <v>22</v>
      </c>
      <c r="R691" s="64" t="s">
        <v>21</v>
      </c>
      <c r="S691" s="64" t="s">
        <v>38</v>
      </c>
      <c r="T691" s="64" t="s">
        <v>92</v>
      </c>
      <c r="U691" s="64" t="s">
        <v>101</v>
      </c>
      <c r="V691" s="64" t="s">
        <v>92</v>
      </c>
      <c r="W691" s="64" t="s">
        <v>93</v>
      </c>
      <c r="X691" s="64" t="s">
        <v>95</v>
      </c>
    </row>
    <row r="692" spans="1:24">
      <c r="A692" s="64">
        <v>736</v>
      </c>
      <c r="B692" s="65" t="s">
        <v>686</v>
      </c>
      <c r="C692" s="65" t="s">
        <v>687</v>
      </c>
      <c r="D692" s="65" t="s">
        <v>688</v>
      </c>
      <c r="E692" s="64" t="s">
        <v>226</v>
      </c>
      <c r="F692" s="64" t="s">
        <v>170</v>
      </c>
      <c r="G692" s="64" t="s">
        <v>155</v>
      </c>
      <c r="H692" s="64" t="s">
        <v>100</v>
      </c>
      <c r="I692" s="64" t="s">
        <v>101</v>
      </c>
      <c r="J692" s="64" t="s">
        <v>2</v>
      </c>
      <c r="K692" s="64" t="s">
        <v>2</v>
      </c>
      <c r="L692" s="64">
        <v>200</v>
      </c>
      <c r="M692" s="64">
        <v>100</v>
      </c>
      <c r="N692" s="64">
        <v>2</v>
      </c>
      <c r="O692" s="64">
        <v>1</v>
      </c>
      <c r="P692" s="64" t="s">
        <v>172</v>
      </c>
      <c r="Q692" s="64" t="s">
        <v>92</v>
      </c>
      <c r="R692" s="64" t="s">
        <v>20</v>
      </c>
      <c r="S692" s="64" t="s">
        <v>3</v>
      </c>
      <c r="T692" s="64" t="s">
        <v>94</v>
      </c>
      <c r="U692" s="64" t="s">
        <v>101</v>
      </c>
      <c r="V692" s="64" t="s">
        <v>92</v>
      </c>
      <c r="W692" s="64" t="s">
        <v>93</v>
      </c>
      <c r="X692" s="64" t="s">
        <v>102</v>
      </c>
    </row>
    <row r="693" spans="1:24">
      <c r="A693" s="64">
        <v>144</v>
      </c>
      <c r="B693" s="65" t="s">
        <v>1179</v>
      </c>
      <c r="C693" s="65" t="s">
        <v>690</v>
      </c>
      <c r="D693" s="65" t="s">
        <v>227</v>
      </c>
      <c r="E693" s="64" t="s">
        <v>111</v>
      </c>
      <c r="F693" s="64" t="s">
        <v>87</v>
      </c>
      <c r="G693" s="64" t="s">
        <v>164</v>
      </c>
      <c r="H693" s="64" t="s">
        <v>89</v>
      </c>
      <c r="I693" s="64" t="s">
        <v>101</v>
      </c>
      <c r="J693" s="64" t="s">
        <v>2</v>
      </c>
      <c r="K693" s="64" t="s">
        <v>2</v>
      </c>
      <c r="L693" s="64">
        <v>5</v>
      </c>
      <c r="M693" s="64">
        <v>67</v>
      </c>
      <c r="N693" s="64">
        <v>8</v>
      </c>
      <c r="O693" s="64" t="s">
        <v>1899</v>
      </c>
      <c r="P693" s="64" t="s">
        <v>1900</v>
      </c>
      <c r="Q693" s="64" t="s">
        <v>92</v>
      </c>
      <c r="R693" s="64" t="s">
        <v>20</v>
      </c>
      <c r="S693" s="64" t="s">
        <v>37</v>
      </c>
      <c r="T693" s="64" t="s">
        <v>94</v>
      </c>
      <c r="U693" s="64" t="s">
        <v>101</v>
      </c>
      <c r="V693" s="64" t="s">
        <v>92</v>
      </c>
      <c r="W693" s="64" t="s">
        <v>101</v>
      </c>
      <c r="X693" s="64" t="s">
        <v>102</v>
      </c>
    </row>
    <row r="694" spans="1:24">
      <c r="A694" s="64">
        <v>230</v>
      </c>
      <c r="B694" s="65" t="s">
        <v>689</v>
      </c>
      <c r="C694" s="65" t="s">
        <v>690</v>
      </c>
      <c r="D694" s="65" t="s">
        <v>691</v>
      </c>
      <c r="E694" s="64" t="s">
        <v>169</v>
      </c>
      <c r="F694" s="64" t="s">
        <v>87</v>
      </c>
      <c r="G694" s="64" t="s">
        <v>158</v>
      </c>
      <c r="H694" s="64" t="s">
        <v>100</v>
      </c>
      <c r="I694" s="64" t="s">
        <v>90</v>
      </c>
      <c r="J694" s="64" t="s">
        <v>3</v>
      </c>
      <c r="K694" s="64" t="s">
        <v>3</v>
      </c>
      <c r="L694" s="64">
        <v>132</v>
      </c>
      <c r="M694" s="64" t="s">
        <v>87</v>
      </c>
      <c r="N694" s="64">
        <v>8</v>
      </c>
      <c r="O694" s="64" t="s">
        <v>87</v>
      </c>
      <c r="P694" s="64">
        <v>8</v>
      </c>
      <c r="Q694" s="64" t="s">
        <v>22</v>
      </c>
      <c r="R694" s="64" t="s">
        <v>92</v>
      </c>
      <c r="S694" s="64" t="s">
        <v>92</v>
      </c>
      <c r="T694" s="64" t="s">
        <v>92</v>
      </c>
      <c r="U694" s="64" t="s">
        <v>108</v>
      </c>
      <c r="V694" s="64" t="s">
        <v>92</v>
      </c>
      <c r="W694" s="64" t="s">
        <v>90</v>
      </c>
      <c r="X694" s="64" t="s">
        <v>95</v>
      </c>
    </row>
    <row r="695" spans="1:24">
      <c r="A695" s="64">
        <v>293</v>
      </c>
      <c r="B695" s="65" t="s">
        <v>1180</v>
      </c>
      <c r="C695" s="65" t="s">
        <v>690</v>
      </c>
      <c r="D695" s="65" t="s">
        <v>353</v>
      </c>
      <c r="E695" s="64" t="s">
        <v>408</v>
      </c>
      <c r="F695" s="64" t="s">
        <v>87</v>
      </c>
      <c r="G695" s="64" t="s">
        <v>99</v>
      </c>
      <c r="H695" s="64" t="s">
        <v>707</v>
      </c>
      <c r="I695" s="64" t="s">
        <v>90</v>
      </c>
      <c r="J695" s="64" t="s">
        <v>3</v>
      </c>
      <c r="K695" s="64" t="s">
        <v>3</v>
      </c>
      <c r="L695" s="64" t="s">
        <v>87</v>
      </c>
      <c r="M695" s="64">
        <v>61</v>
      </c>
      <c r="N695" s="64" t="s">
        <v>87</v>
      </c>
      <c r="O695" s="64">
        <v>13</v>
      </c>
      <c r="P695" s="64" t="s">
        <v>718</v>
      </c>
      <c r="Q695" s="64" t="s">
        <v>24</v>
      </c>
      <c r="R695" s="64" t="s">
        <v>92</v>
      </c>
      <c r="S695" s="64" t="s">
        <v>37</v>
      </c>
      <c r="T695" s="64" t="s">
        <v>94</v>
      </c>
      <c r="U695" s="64" t="s">
        <v>108</v>
      </c>
      <c r="V695" s="64" t="s">
        <v>92</v>
      </c>
      <c r="W695" s="64" t="s">
        <v>93</v>
      </c>
      <c r="X695" s="64" t="s">
        <v>95</v>
      </c>
    </row>
    <row r="696" spans="1:24">
      <c r="A696" s="64">
        <v>22</v>
      </c>
      <c r="B696" s="65" t="s">
        <v>1901</v>
      </c>
      <c r="C696" s="65" t="s">
        <v>690</v>
      </c>
      <c r="D696" s="65" t="s">
        <v>214</v>
      </c>
      <c r="E696" s="64" t="s">
        <v>178</v>
      </c>
      <c r="F696" s="64" t="s">
        <v>87</v>
      </c>
      <c r="G696" s="64" t="s">
        <v>117</v>
      </c>
      <c r="H696" s="64" t="s">
        <v>100</v>
      </c>
      <c r="I696" s="64" t="s">
        <v>101</v>
      </c>
      <c r="J696" s="64" t="s">
        <v>2</v>
      </c>
      <c r="K696" s="64" t="s">
        <v>2</v>
      </c>
      <c r="L696" s="64">
        <v>25</v>
      </c>
      <c r="M696" s="64">
        <v>11</v>
      </c>
      <c r="N696" s="64">
        <v>9</v>
      </c>
      <c r="O696" s="64" t="s">
        <v>368</v>
      </c>
      <c r="P696" s="64" t="s">
        <v>340</v>
      </c>
      <c r="Q696" s="64" t="s">
        <v>92</v>
      </c>
      <c r="R696" s="64" t="s">
        <v>92</v>
      </c>
      <c r="S696" s="64" t="s">
        <v>23</v>
      </c>
      <c r="T696" s="64" t="s">
        <v>94</v>
      </c>
      <c r="U696" s="64" t="s">
        <v>93</v>
      </c>
      <c r="V696" s="64" t="s">
        <v>92</v>
      </c>
      <c r="W696" s="64" t="s">
        <v>101</v>
      </c>
      <c r="X696" s="64" t="s">
        <v>102</v>
      </c>
    </row>
    <row r="697" spans="1:24">
      <c r="A697" s="64">
        <v>1150</v>
      </c>
      <c r="B697" s="65" t="s">
        <v>1902</v>
      </c>
      <c r="C697" s="65" t="s">
        <v>1903</v>
      </c>
      <c r="D697" s="65" t="s">
        <v>749</v>
      </c>
      <c r="E697" s="64" t="s">
        <v>149</v>
      </c>
      <c r="F697" s="64" t="s">
        <v>170</v>
      </c>
      <c r="G697" s="64" t="s">
        <v>117</v>
      </c>
      <c r="H697" s="64" t="s">
        <v>707</v>
      </c>
      <c r="I697" s="64" t="s">
        <v>90</v>
      </c>
      <c r="J697" s="64" t="s">
        <v>2</v>
      </c>
      <c r="K697" s="64" t="s">
        <v>2</v>
      </c>
      <c r="L697" s="64" t="s">
        <v>87</v>
      </c>
      <c r="M697" s="64">
        <v>100</v>
      </c>
      <c r="N697" s="64" t="s">
        <v>87</v>
      </c>
      <c r="O697" s="64">
        <v>1</v>
      </c>
      <c r="P697" s="64" t="s">
        <v>729</v>
      </c>
      <c r="Q697" s="64" t="s">
        <v>19</v>
      </c>
      <c r="R697" s="64" t="s">
        <v>21</v>
      </c>
      <c r="S697" s="64" t="s">
        <v>38</v>
      </c>
      <c r="T697" s="64" t="s">
        <v>92</v>
      </c>
      <c r="U697" s="64" t="s">
        <v>101</v>
      </c>
      <c r="V697" s="64" t="s">
        <v>92</v>
      </c>
      <c r="W697" s="64" t="s">
        <v>93</v>
      </c>
      <c r="X697" s="64" t="s">
        <v>95</v>
      </c>
    </row>
    <row r="698" spans="1:24">
      <c r="A698" s="64">
        <v>499</v>
      </c>
      <c r="B698" s="65" t="s">
        <v>1904</v>
      </c>
      <c r="C698" s="65" t="s">
        <v>1905</v>
      </c>
      <c r="D698" s="65" t="s">
        <v>201</v>
      </c>
      <c r="E698" s="64" t="s">
        <v>149</v>
      </c>
      <c r="F698" s="64" t="s">
        <v>87</v>
      </c>
      <c r="G698" s="64" t="s">
        <v>147</v>
      </c>
      <c r="H698" s="64" t="s">
        <v>100</v>
      </c>
      <c r="I698" s="64" t="s">
        <v>101</v>
      </c>
      <c r="J698" s="64" t="s">
        <v>2</v>
      </c>
      <c r="K698" s="64" t="s">
        <v>2</v>
      </c>
      <c r="L698" s="64">
        <v>107</v>
      </c>
      <c r="M698" s="64">
        <v>2</v>
      </c>
      <c r="N698" s="64">
        <v>5</v>
      </c>
      <c r="O698" s="64" t="s">
        <v>166</v>
      </c>
      <c r="P698" s="64" t="s">
        <v>288</v>
      </c>
      <c r="Q698" s="64" t="s">
        <v>92</v>
      </c>
      <c r="R698" s="64" t="s">
        <v>92</v>
      </c>
      <c r="S698" s="64" t="s">
        <v>3</v>
      </c>
      <c r="T698" s="64" t="s">
        <v>92</v>
      </c>
      <c r="U698" s="64" t="s">
        <v>90</v>
      </c>
      <c r="V698" s="64" t="s">
        <v>92</v>
      </c>
      <c r="W698" s="64" t="s">
        <v>90</v>
      </c>
      <c r="X698" s="64" t="s">
        <v>102</v>
      </c>
    </row>
    <row r="699" spans="1:24">
      <c r="A699" s="64">
        <v>973</v>
      </c>
      <c r="B699" s="65" t="s">
        <v>1906</v>
      </c>
      <c r="C699" s="65" t="s">
        <v>1907</v>
      </c>
      <c r="D699" s="65" t="s">
        <v>1908</v>
      </c>
      <c r="E699" s="64" t="s">
        <v>157</v>
      </c>
      <c r="F699" s="64" t="s">
        <v>170</v>
      </c>
      <c r="G699" s="64" t="s">
        <v>150</v>
      </c>
      <c r="H699" s="64" t="s">
        <v>100</v>
      </c>
      <c r="I699" s="64" t="s">
        <v>90</v>
      </c>
      <c r="J699" s="64" t="s">
        <v>2</v>
      </c>
      <c r="K699" s="64" t="s">
        <v>2</v>
      </c>
      <c r="L699" s="64">
        <v>200</v>
      </c>
      <c r="M699" s="64">
        <v>100</v>
      </c>
      <c r="N699" s="64">
        <v>2</v>
      </c>
      <c r="O699" s="64">
        <v>1</v>
      </c>
      <c r="P699" s="64" t="s">
        <v>172</v>
      </c>
      <c r="Q699" s="64" t="s">
        <v>22</v>
      </c>
      <c r="R699" s="64" t="s">
        <v>21</v>
      </c>
      <c r="S699" s="64" t="s">
        <v>92</v>
      </c>
      <c r="T699" s="64" t="s">
        <v>94</v>
      </c>
      <c r="U699" s="64" t="s">
        <v>108</v>
      </c>
      <c r="V699" s="64" t="s">
        <v>94</v>
      </c>
      <c r="W699" s="64" t="s">
        <v>93</v>
      </c>
      <c r="X699" s="64" t="s">
        <v>95</v>
      </c>
    </row>
    <row r="700" spans="1:24">
      <c r="A700" s="64">
        <v>953</v>
      </c>
      <c r="B700" s="65" t="s">
        <v>1452</v>
      </c>
      <c r="C700" s="65" t="s">
        <v>692</v>
      </c>
      <c r="D700" s="65" t="s">
        <v>835</v>
      </c>
      <c r="E700" s="64" t="s">
        <v>111</v>
      </c>
      <c r="F700" s="64" t="s">
        <v>87</v>
      </c>
      <c r="G700" s="64" t="s">
        <v>270</v>
      </c>
      <c r="H700" s="64" t="s">
        <v>100</v>
      </c>
      <c r="I700" s="64" t="s">
        <v>101</v>
      </c>
      <c r="J700" s="64" t="s">
        <v>3</v>
      </c>
      <c r="K700" s="64" t="s">
        <v>3</v>
      </c>
      <c r="L700" s="64">
        <v>34</v>
      </c>
      <c r="M700" s="64">
        <v>1</v>
      </c>
      <c r="N700" s="64">
        <v>3</v>
      </c>
      <c r="O700" s="64" t="s">
        <v>108</v>
      </c>
      <c r="P700" s="64" t="s">
        <v>134</v>
      </c>
      <c r="Q700" s="64" t="s">
        <v>92</v>
      </c>
      <c r="R700" s="64" t="s">
        <v>21</v>
      </c>
      <c r="S700" s="64" t="s">
        <v>92</v>
      </c>
      <c r="T700" s="64" t="s">
        <v>94</v>
      </c>
      <c r="U700" s="64" t="s">
        <v>108</v>
      </c>
      <c r="V700" s="64" t="s">
        <v>92</v>
      </c>
      <c r="W700" s="64" t="s">
        <v>90</v>
      </c>
      <c r="X700" s="64" t="s">
        <v>102</v>
      </c>
    </row>
    <row r="701" spans="1:24">
      <c r="A701" s="64">
        <v>618</v>
      </c>
      <c r="B701" s="65" t="s">
        <v>693</v>
      </c>
      <c r="C701" s="65" t="s">
        <v>694</v>
      </c>
      <c r="D701" s="65" t="s">
        <v>227</v>
      </c>
      <c r="E701" s="64" t="s">
        <v>127</v>
      </c>
      <c r="F701" s="64" t="s">
        <v>87</v>
      </c>
      <c r="G701" s="64" t="s">
        <v>112</v>
      </c>
      <c r="H701" s="64" t="s">
        <v>100</v>
      </c>
      <c r="I701" s="64" t="s">
        <v>90</v>
      </c>
      <c r="J701" s="64" t="s">
        <v>2</v>
      </c>
      <c r="K701" s="64" t="s">
        <v>3</v>
      </c>
      <c r="L701" s="64">
        <v>190</v>
      </c>
      <c r="M701" s="64" t="s">
        <v>87</v>
      </c>
      <c r="N701" s="64">
        <v>8</v>
      </c>
      <c r="O701" s="64" t="s">
        <v>87</v>
      </c>
      <c r="P701" s="64">
        <v>8</v>
      </c>
      <c r="Q701" s="64" t="s">
        <v>92</v>
      </c>
      <c r="R701" s="64" t="s">
        <v>92</v>
      </c>
      <c r="S701" s="64" t="s">
        <v>92</v>
      </c>
      <c r="T701" s="64" t="s">
        <v>92</v>
      </c>
      <c r="U701" s="64" t="s">
        <v>101</v>
      </c>
      <c r="V701" s="64" t="s">
        <v>92</v>
      </c>
      <c r="W701" s="64" t="s">
        <v>90</v>
      </c>
      <c r="X701" s="64" t="s">
        <v>95</v>
      </c>
    </row>
    <row r="702" spans="1:24">
      <c r="A702" s="64">
        <v>538</v>
      </c>
      <c r="B702" s="65" t="s">
        <v>697</v>
      </c>
      <c r="C702" s="65" t="s">
        <v>694</v>
      </c>
      <c r="D702" s="65" t="s">
        <v>165</v>
      </c>
      <c r="E702" s="64" t="s">
        <v>141</v>
      </c>
      <c r="F702" s="64" t="s">
        <v>87</v>
      </c>
      <c r="G702" s="64" t="s">
        <v>164</v>
      </c>
      <c r="H702" s="64" t="s">
        <v>89</v>
      </c>
      <c r="I702" s="64" t="s">
        <v>101</v>
      </c>
      <c r="J702" s="64" t="s">
        <v>2</v>
      </c>
      <c r="K702" s="64" t="s">
        <v>3</v>
      </c>
      <c r="L702" s="64">
        <v>43</v>
      </c>
      <c r="M702" s="64">
        <v>58</v>
      </c>
      <c r="N702" s="64">
        <v>6</v>
      </c>
      <c r="O702" s="64" t="s">
        <v>368</v>
      </c>
      <c r="P702" s="64" t="s">
        <v>1779</v>
      </c>
      <c r="Q702" s="64" t="s">
        <v>24</v>
      </c>
      <c r="R702" s="64" t="s">
        <v>92</v>
      </c>
      <c r="S702" s="64" t="s">
        <v>92</v>
      </c>
      <c r="T702" s="64" t="s">
        <v>94</v>
      </c>
      <c r="U702" s="64" t="s">
        <v>90</v>
      </c>
      <c r="V702" s="64" t="s">
        <v>92</v>
      </c>
      <c r="W702" s="64" t="s">
        <v>108</v>
      </c>
      <c r="X702" s="64" t="s">
        <v>102</v>
      </c>
    </row>
    <row r="703" spans="1:24">
      <c r="A703" s="64">
        <v>1233</v>
      </c>
      <c r="B703" s="65" t="s">
        <v>1181</v>
      </c>
      <c r="C703" s="65" t="s">
        <v>1182</v>
      </c>
      <c r="D703" s="65" t="s">
        <v>1104</v>
      </c>
      <c r="E703" s="64" t="s">
        <v>42</v>
      </c>
      <c r="F703" s="64" t="s">
        <v>170</v>
      </c>
      <c r="G703" s="64" t="s">
        <v>182</v>
      </c>
      <c r="H703" s="64" t="s">
        <v>707</v>
      </c>
      <c r="I703" s="64" t="s">
        <v>90</v>
      </c>
      <c r="J703" s="64" t="s">
        <v>2</v>
      </c>
      <c r="K703" s="64" t="s">
        <v>2</v>
      </c>
      <c r="L703" s="64" t="s">
        <v>87</v>
      </c>
      <c r="M703" s="64">
        <v>100</v>
      </c>
      <c r="N703" s="64" t="s">
        <v>87</v>
      </c>
      <c r="O703" s="64">
        <v>1</v>
      </c>
      <c r="P703" s="64" t="s">
        <v>729</v>
      </c>
      <c r="Q703" s="64" t="s">
        <v>22</v>
      </c>
      <c r="R703" s="64" t="s">
        <v>21</v>
      </c>
      <c r="S703" s="64" t="s">
        <v>3</v>
      </c>
      <c r="T703" s="64" t="s">
        <v>94</v>
      </c>
      <c r="U703" s="64" t="s">
        <v>108</v>
      </c>
      <c r="V703" s="64" t="s">
        <v>92</v>
      </c>
      <c r="W703" s="64" t="s">
        <v>90</v>
      </c>
      <c r="X703" s="64" t="s">
        <v>95</v>
      </c>
    </row>
    <row r="704" spans="1:24">
      <c r="A704" s="64">
        <v>780</v>
      </c>
      <c r="B704" s="65" t="s">
        <v>698</v>
      </c>
      <c r="C704" s="65" t="s">
        <v>699</v>
      </c>
      <c r="D704" s="65" t="s">
        <v>700</v>
      </c>
      <c r="E704" s="64" t="s">
        <v>194</v>
      </c>
      <c r="F704" s="64" t="s">
        <v>87</v>
      </c>
      <c r="G704" s="64" t="s">
        <v>99</v>
      </c>
      <c r="H704" s="64" t="s">
        <v>89</v>
      </c>
      <c r="I704" s="64" t="s">
        <v>101</v>
      </c>
      <c r="J704" s="64" t="s">
        <v>2</v>
      </c>
      <c r="K704" s="64" t="s">
        <v>2</v>
      </c>
      <c r="L704" s="64">
        <v>43</v>
      </c>
      <c r="M704" s="64">
        <v>29</v>
      </c>
      <c r="N704" s="64">
        <v>4</v>
      </c>
      <c r="O704" s="64" t="s">
        <v>91</v>
      </c>
      <c r="P704" s="64" t="s">
        <v>1473</v>
      </c>
      <c r="Q704" s="64" t="s">
        <v>92</v>
      </c>
      <c r="R704" s="64" t="s">
        <v>92</v>
      </c>
      <c r="S704" s="64" t="s">
        <v>92</v>
      </c>
      <c r="T704" s="64" t="s">
        <v>94</v>
      </c>
      <c r="U704" s="64" t="s">
        <v>108</v>
      </c>
      <c r="V704" s="64" t="s">
        <v>92</v>
      </c>
      <c r="W704" s="64" t="s">
        <v>90</v>
      </c>
      <c r="X704" s="64" t="s">
        <v>102</v>
      </c>
    </row>
    <row r="705" spans="1:24">
      <c r="A705" s="64">
        <v>21</v>
      </c>
      <c r="B705" s="65" t="s">
        <v>1909</v>
      </c>
      <c r="C705" s="65" t="s">
        <v>701</v>
      </c>
      <c r="D705" s="65" t="s">
        <v>443</v>
      </c>
      <c r="E705" s="64" t="s">
        <v>178</v>
      </c>
      <c r="F705" s="64" t="s">
        <v>87</v>
      </c>
      <c r="G705" s="64" t="s">
        <v>117</v>
      </c>
      <c r="H705" s="64" t="s">
        <v>100</v>
      </c>
      <c r="I705" s="64" t="s">
        <v>101</v>
      </c>
      <c r="J705" s="64" t="s">
        <v>2</v>
      </c>
      <c r="K705" s="64" t="s">
        <v>2</v>
      </c>
      <c r="L705" s="64">
        <v>42</v>
      </c>
      <c r="M705" s="64">
        <v>3</v>
      </c>
      <c r="N705" s="64">
        <v>3</v>
      </c>
      <c r="O705" s="64" t="s">
        <v>108</v>
      </c>
      <c r="P705" s="64" t="s">
        <v>134</v>
      </c>
      <c r="Q705" s="64" t="s">
        <v>92</v>
      </c>
      <c r="R705" s="64" t="s">
        <v>92</v>
      </c>
      <c r="S705" s="64" t="s">
        <v>3</v>
      </c>
      <c r="T705" s="64" t="s">
        <v>94</v>
      </c>
      <c r="U705" s="64" t="s">
        <v>108</v>
      </c>
      <c r="V705" s="64" t="s">
        <v>92</v>
      </c>
      <c r="W705" s="64" t="s">
        <v>90</v>
      </c>
      <c r="X705" s="64" t="s">
        <v>102</v>
      </c>
    </row>
    <row r="706" spans="1:24">
      <c r="A706" s="64">
        <v>52</v>
      </c>
      <c r="B706" s="65" t="s">
        <v>703</v>
      </c>
      <c r="C706" s="65" t="s">
        <v>701</v>
      </c>
      <c r="D706" s="65" t="s">
        <v>704</v>
      </c>
      <c r="E706" s="64" t="s">
        <v>86</v>
      </c>
      <c r="F706" s="64" t="s">
        <v>87</v>
      </c>
      <c r="G706" s="64" t="s">
        <v>88</v>
      </c>
      <c r="H706" s="64" t="s">
        <v>100</v>
      </c>
      <c r="I706" s="64" t="s">
        <v>90</v>
      </c>
      <c r="J706" s="64" t="s">
        <v>2</v>
      </c>
      <c r="K706" s="64" t="s">
        <v>2</v>
      </c>
      <c r="L706" s="64">
        <v>53</v>
      </c>
      <c r="M706" s="64">
        <v>21</v>
      </c>
      <c r="N706" s="64">
        <v>7</v>
      </c>
      <c r="O706" s="64" t="s">
        <v>633</v>
      </c>
      <c r="P706" s="64" t="s">
        <v>552</v>
      </c>
      <c r="Q706" s="64" t="s">
        <v>92</v>
      </c>
      <c r="R706" s="64" t="s">
        <v>21</v>
      </c>
      <c r="S706" s="64" t="s">
        <v>3</v>
      </c>
      <c r="T706" s="64" t="s">
        <v>94</v>
      </c>
      <c r="U706" s="64" t="s">
        <v>101</v>
      </c>
      <c r="V706" s="64" t="s">
        <v>92</v>
      </c>
      <c r="W706" s="64" t="s">
        <v>90</v>
      </c>
      <c r="X706" s="64" t="s">
        <v>95</v>
      </c>
    </row>
    <row r="707" spans="1:24">
      <c r="A707" s="64">
        <v>992</v>
      </c>
      <c r="B707" s="65" t="s">
        <v>1183</v>
      </c>
      <c r="C707" s="65" t="s">
        <v>701</v>
      </c>
      <c r="D707" s="65" t="s">
        <v>1184</v>
      </c>
      <c r="E707" s="64" t="s">
        <v>127</v>
      </c>
      <c r="F707" s="64" t="s">
        <v>87</v>
      </c>
      <c r="G707" s="64" t="s">
        <v>88</v>
      </c>
      <c r="H707" s="64" t="s">
        <v>707</v>
      </c>
      <c r="I707" s="64" t="s">
        <v>101</v>
      </c>
      <c r="J707" s="64" t="s">
        <v>2</v>
      </c>
      <c r="K707" s="64" t="s">
        <v>3</v>
      </c>
      <c r="L707" s="64" t="s">
        <v>87</v>
      </c>
      <c r="M707" s="64">
        <v>8</v>
      </c>
      <c r="N707" s="64" t="s">
        <v>87</v>
      </c>
      <c r="O707" s="64">
        <v>6</v>
      </c>
      <c r="P707" s="64" t="s">
        <v>740</v>
      </c>
      <c r="Q707" s="64" t="s">
        <v>92</v>
      </c>
      <c r="R707" s="64" t="s">
        <v>92</v>
      </c>
      <c r="S707" s="64" t="s">
        <v>3</v>
      </c>
      <c r="T707" s="64" t="s">
        <v>94</v>
      </c>
      <c r="U707" s="64" t="s">
        <v>90</v>
      </c>
      <c r="V707" s="64" t="s">
        <v>94</v>
      </c>
      <c r="W707" s="64" t="s">
        <v>90</v>
      </c>
      <c r="X707" s="64" t="s">
        <v>102</v>
      </c>
    </row>
    <row r="708" spans="1:24">
      <c r="A708" s="64">
        <v>1076</v>
      </c>
      <c r="B708" s="65" t="s">
        <v>1201</v>
      </c>
      <c r="C708" s="65" t="s">
        <v>1202</v>
      </c>
      <c r="D708" s="65" t="s">
        <v>1203</v>
      </c>
      <c r="E708" s="64" t="s">
        <v>123</v>
      </c>
      <c r="F708" s="64" t="s">
        <v>170</v>
      </c>
      <c r="G708" s="64" t="s">
        <v>164</v>
      </c>
      <c r="H708" s="64" t="s">
        <v>707</v>
      </c>
      <c r="I708" s="64" t="s">
        <v>90</v>
      </c>
      <c r="J708" s="64" t="s">
        <v>3</v>
      </c>
      <c r="K708" s="64" t="s">
        <v>2</v>
      </c>
      <c r="L708" s="64" t="s">
        <v>87</v>
      </c>
      <c r="M708" s="64">
        <v>100</v>
      </c>
      <c r="N708" s="64" t="s">
        <v>87</v>
      </c>
      <c r="O708" s="64">
        <v>1</v>
      </c>
      <c r="P708" s="64" t="s">
        <v>729</v>
      </c>
      <c r="Q708" s="64" t="s">
        <v>19</v>
      </c>
      <c r="R708" s="64" t="s">
        <v>92</v>
      </c>
      <c r="S708" s="64" t="s">
        <v>38</v>
      </c>
      <c r="T708" s="64" t="s">
        <v>94</v>
      </c>
      <c r="U708" s="64" t="s">
        <v>93</v>
      </c>
      <c r="V708" s="64" t="s">
        <v>92</v>
      </c>
      <c r="W708" s="64" t="s">
        <v>93</v>
      </c>
      <c r="X708" s="64" t="s">
        <v>95</v>
      </c>
    </row>
    <row r="709" spans="1:24">
      <c r="A709" s="64">
        <v>201</v>
      </c>
      <c r="B709" s="65" t="s">
        <v>1222</v>
      </c>
      <c r="C709" s="65" t="s">
        <v>1223</v>
      </c>
      <c r="D709" s="65" t="s">
        <v>1224</v>
      </c>
      <c r="E709" s="64" t="s">
        <v>218</v>
      </c>
      <c r="F709" s="64" t="s">
        <v>87</v>
      </c>
      <c r="G709" s="64" t="s">
        <v>129</v>
      </c>
      <c r="H709" s="64" t="s">
        <v>100</v>
      </c>
      <c r="I709" s="64" t="s">
        <v>90</v>
      </c>
      <c r="J709" s="64" t="s">
        <v>2</v>
      </c>
      <c r="K709" s="64" t="s">
        <v>2</v>
      </c>
      <c r="L709" s="64">
        <v>99</v>
      </c>
      <c r="M709" s="64">
        <v>25</v>
      </c>
      <c r="N709" s="64">
        <v>13</v>
      </c>
      <c r="O709" s="64" t="s">
        <v>322</v>
      </c>
      <c r="P709" s="64" t="s">
        <v>225</v>
      </c>
      <c r="Q709" s="64" t="s">
        <v>92</v>
      </c>
      <c r="R709" s="64" t="s">
        <v>92</v>
      </c>
      <c r="S709" s="64" t="s">
        <v>92</v>
      </c>
      <c r="T709" s="64" t="s">
        <v>94</v>
      </c>
      <c r="U709" s="64" t="s">
        <v>108</v>
      </c>
      <c r="V709" s="64" t="s">
        <v>94</v>
      </c>
      <c r="W709" s="64" t="s">
        <v>93</v>
      </c>
      <c r="X709" s="64" t="s">
        <v>95</v>
      </c>
    </row>
    <row r="710" spans="1:24">
      <c r="A710" s="64">
        <v>472</v>
      </c>
      <c r="B710" s="65" t="s">
        <v>1185</v>
      </c>
      <c r="C710" s="65" t="s">
        <v>1186</v>
      </c>
      <c r="D710" s="65" t="s">
        <v>367</v>
      </c>
      <c r="E710" s="64" t="s">
        <v>197</v>
      </c>
      <c r="F710" s="64" t="s">
        <v>87</v>
      </c>
      <c r="G710" s="64" t="s">
        <v>376</v>
      </c>
      <c r="H710" s="64" t="s">
        <v>707</v>
      </c>
      <c r="I710" s="64" t="s">
        <v>90</v>
      </c>
      <c r="J710" s="64" t="s">
        <v>2</v>
      </c>
      <c r="K710" s="64" t="s">
        <v>2</v>
      </c>
      <c r="L710" s="64" t="s">
        <v>87</v>
      </c>
      <c r="M710" s="64">
        <v>68</v>
      </c>
      <c r="N710" s="64" t="s">
        <v>87</v>
      </c>
      <c r="O710" s="64">
        <v>18</v>
      </c>
      <c r="P710" s="64" t="s">
        <v>758</v>
      </c>
      <c r="Q710" s="64" t="s">
        <v>92</v>
      </c>
      <c r="R710" s="64" t="s">
        <v>20</v>
      </c>
      <c r="S710" s="64" t="s">
        <v>37</v>
      </c>
      <c r="T710" s="64" t="s">
        <v>94</v>
      </c>
      <c r="U710" s="64" t="s">
        <v>101</v>
      </c>
      <c r="V710" s="64" t="s">
        <v>92</v>
      </c>
      <c r="W710" s="64" t="s">
        <v>90</v>
      </c>
      <c r="X710" s="64" t="s">
        <v>95</v>
      </c>
    </row>
    <row r="711" spans="1:24">
      <c r="A711" s="64">
        <v>887</v>
      </c>
      <c r="B711" s="65" t="s">
        <v>705</v>
      </c>
      <c r="C711" s="65" t="s">
        <v>706</v>
      </c>
      <c r="D711" s="65" t="s">
        <v>470</v>
      </c>
      <c r="E711" s="64" t="s">
        <v>266</v>
      </c>
      <c r="F711" s="64" t="s">
        <v>87</v>
      </c>
      <c r="G711" s="64" t="s">
        <v>182</v>
      </c>
      <c r="H711" s="64" t="s">
        <v>100</v>
      </c>
      <c r="I711" s="64" t="s">
        <v>101</v>
      </c>
      <c r="J711" s="64" t="s">
        <v>2</v>
      </c>
      <c r="K711" s="64" t="s">
        <v>2</v>
      </c>
      <c r="L711" s="64">
        <v>202</v>
      </c>
      <c r="M711" s="64" t="s">
        <v>87</v>
      </c>
      <c r="N711" s="64">
        <v>9</v>
      </c>
      <c r="O711" s="64" t="s">
        <v>87</v>
      </c>
      <c r="P711" s="64">
        <v>9</v>
      </c>
      <c r="Q711" s="64" t="s">
        <v>22</v>
      </c>
      <c r="R711" s="64" t="s">
        <v>20</v>
      </c>
      <c r="S711" s="64" t="s">
        <v>92</v>
      </c>
      <c r="T711" s="64" t="s">
        <v>92</v>
      </c>
      <c r="U711" s="64" t="s">
        <v>90</v>
      </c>
      <c r="V711" s="64" t="s">
        <v>92</v>
      </c>
      <c r="W711" s="64" t="s">
        <v>101</v>
      </c>
      <c r="X711" s="64" t="s">
        <v>102</v>
      </c>
    </row>
    <row r="712" spans="1:24">
      <c r="A712" s="64">
        <v>1057</v>
      </c>
      <c r="B712" s="65" t="s">
        <v>1910</v>
      </c>
      <c r="C712" s="65" t="s">
        <v>1911</v>
      </c>
      <c r="D712" s="65" t="s">
        <v>1912</v>
      </c>
      <c r="E712" s="64" t="s">
        <v>50</v>
      </c>
      <c r="F712" s="64" t="s">
        <v>170</v>
      </c>
      <c r="G712" s="64" t="s">
        <v>402</v>
      </c>
      <c r="H712" s="64" t="s">
        <v>100</v>
      </c>
      <c r="I712" s="64" t="s">
        <v>90</v>
      </c>
      <c r="J712" s="64" t="s">
        <v>3</v>
      </c>
      <c r="K712" s="64" t="s">
        <v>3</v>
      </c>
      <c r="L712" s="64">
        <v>200</v>
      </c>
      <c r="M712" s="64">
        <v>100</v>
      </c>
      <c r="N712" s="64">
        <v>1</v>
      </c>
      <c r="O712" s="64">
        <v>1</v>
      </c>
      <c r="P712" s="64" t="s">
        <v>255</v>
      </c>
      <c r="Q712" s="64" t="s">
        <v>92</v>
      </c>
      <c r="R712" s="64" t="s">
        <v>21</v>
      </c>
      <c r="S712" s="64" t="s">
        <v>38</v>
      </c>
      <c r="T712" s="64" t="s">
        <v>94</v>
      </c>
      <c r="U712" s="64" t="s">
        <v>90</v>
      </c>
      <c r="V712" s="64" t="s">
        <v>94</v>
      </c>
      <c r="W712" s="64" t="s">
        <v>93</v>
      </c>
      <c r="X712" s="64" t="s">
        <v>95</v>
      </c>
    </row>
    <row r="713" spans="1:24">
      <c r="A713" s="64">
        <v>1068</v>
      </c>
      <c r="B713" s="65" t="s">
        <v>1913</v>
      </c>
      <c r="C713" s="65" t="s">
        <v>1914</v>
      </c>
      <c r="D713" s="65" t="s">
        <v>224</v>
      </c>
      <c r="E713" s="64" t="s">
        <v>152</v>
      </c>
      <c r="F713" s="64" t="s">
        <v>87</v>
      </c>
      <c r="G713" s="64" t="s">
        <v>112</v>
      </c>
      <c r="H713" s="64" t="s">
        <v>89</v>
      </c>
      <c r="I713" s="64" t="s">
        <v>90</v>
      </c>
      <c r="J713" s="64" t="s">
        <v>2</v>
      </c>
      <c r="K713" s="64" t="s">
        <v>2</v>
      </c>
      <c r="L713" s="64">
        <v>5</v>
      </c>
      <c r="M713" s="64">
        <v>16</v>
      </c>
      <c r="N713" s="64">
        <v>4</v>
      </c>
      <c r="O713" s="64" t="s">
        <v>695</v>
      </c>
      <c r="P713" s="64" t="s">
        <v>1915</v>
      </c>
      <c r="Q713" s="64" t="s">
        <v>24</v>
      </c>
      <c r="R713" s="64" t="s">
        <v>20</v>
      </c>
      <c r="S713" s="64" t="s">
        <v>37</v>
      </c>
      <c r="T713" s="64" t="s">
        <v>94</v>
      </c>
      <c r="U713" s="64" t="s">
        <v>108</v>
      </c>
      <c r="V713" s="64" t="s">
        <v>92</v>
      </c>
      <c r="W713" s="64" t="s">
        <v>93</v>
      </c>
      <c r="X713" s="64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2" customWidth="1"/>
    <col min="2" max="2" width="3.7109375" style="2" customWidth="1"/>
    <col min="3" max="3" width="5.85546875" style="2" customWidth="1"/>
    <col min="4" max="4" width="25.7109375" style="2" customWidth="1"/>
    <col min="5" max="5" width="4.140625" style="2" customWidth="1"/>
    <col min="6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19" style="2" customWidth="1"/>
    <col min="20" max="20" width="10.5703125" style="2" customWidth="1"/>
    <col min="21" max="21" width="3.7109375" style="2" customWidth="1"/>
    <col min="22" max="22" width="4" style="2" customWidth="1"/>
    <col min="23" max="23" width="5.7109375" style="2" customWidth="1"/>
    <col min="24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5703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17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/>
      <c r="C3" s="33" t="s">
        <v>55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440</v>
      </c>
      <c r="T3" s="44" t="str">
        <f>IF(ISERROR((VLOOKUP(S3,Pitchers!$B$1:H$800,4,FALSE))),"",(VLOOKUP(S3,Pitchers!$B$1:H$800,4,FALSE)))</f>
        <v>HOU</v>
      </c>
      <c r="U3" s="45" t="str">
        <f>IF(ISERROR((VLOOKUP(S3,Pitchers!B$2:AA$795,10,FALSE))),"",(VLOOKUP(S3,Pitchers!B$2:AA$795,10,FALSE)))</f>
        <v>L</v>
      </c>
      <c r="V3" s="41"/>
      <c r="W3" s="46">
        <f>IF(ISERROR((VLOOKUP(S3,Pitchers!B$2:AA$795,13,FALSE))),"",(VLOOKUP(S3,Pitchers!B$2:AA$795,13,FALSE)))</f>
        <v>16</v>
      </c>
      <c r="X3" s="47">
        <f>IF(ISERROR((VLOOKUP(S3,Pitchers!B$2:AA$795,11,FALSE))),"",(VLOOKUP(S3,Pitchers!B$2:AA$795,11,FALSE)))</f>
        <v>232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BCW</v>
      </c>
    </row>
    <row r="4" spans="1:36" ht="12.75" customHeight="1">
      <c r="A4" s="6">
        <v>4.0199999999999996</v>
      </c>
      <c r="B4" s="33"/>
      <c r="C4" s="33" t="s">
        <v>55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360</v>
      </c>
      <c r="T4" s="44" t="str">
        <f>IF(ISERROR((VLOOKUP(S4,Pitchers!$B$1:H$800,4,FALSE))),"",(VLOOKUP(S4,Pitchers!$B$1:H$800,4,FALSE)))</f>
        <v>TOT</v>
      </c>
      <c r="U4" s="45" t="str">
        <f>IF(ISERROR((VLOOKUP(S4,Pitchers!B$2:AA$795,10,FALSE))),"",(VLOOKUP(S4,Pitchers!B$2:AA$795,10,FALSE)))</f>
        <v>L</v>
      </c>
      <c r="V4" s="41"/>
      <c r="W4" s="46">
        <f>IF(ISERROR((VLOOKUP(S4,Pitchers!B$2:AA$795,13,FALSE))),"",(VLOOKUP(S4,Pitchers!B$2:AA$795,13,FALSE)))</f>
        <v>12</v>
      </c>
      <c r="X4" s="47">
        <f>IF(ISERROR((VLOOKUP(S4,Pitchers!B$2:AA$795,11,FALSE))),"",(VLOOKUP(S4,Pitchers!B$2:AA$795,11,FALSE)))</f>
        <v>213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X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BCW</v>
      </c>
    </row>
    <row r="5" spans="1:36" ht="12.75" customHeight="1">
      <c r="A5" s="6">
        <v>4.03</v>
      </c>
      <c r="B5" s="33"/>
      <c r="C5" s="33" t="s">
        <v>55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579</v>
      </c>
      <c r="T5" s="44" t="str">
        <f>IF(ISERROR((VLOOKUP(S5,Pitchers!$B$1:H$800,4,FALSE))),"",(VLOOKUP(S5,Pitchers!$B$1:H$800,4,FALSE)))</f>
        <v>TBR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9</v>
      </c>
      <c r="X5" s="47">
        <f>IF(ISERROR((VLOOKUP(S5,Pitchers!B$2:AA$795,11,FALSE))),"",(VLOOKUP(S5,Pitchers!B$2:AA$795,11,FALSE)))</f>
        <v>152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>Z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BCW</v>
      </c>
    </row>
    <row r="6" spans="1:36" ht="12.75" customHeight="1">
      <c r="A6" s="6">
        <v>4.04</v>
      </c>
      <c r="B6" s="33"/>
      <c r="C6" s="33" t="s">
        <v>55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179</v>
      </c>
      <c r="T6" s="44" t="str">
        <f>IF(ISERROR((VLOOKUP(S6,Pitchers!$B$1:H$800,4,FALSE))),"",(VLOOKUP(S6,Pitchers!$B$1:H$800,4,FALSE)))</f>
        <v>BOS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9</v>
      </c>
      <c r="X6" s="47">
        <f>IF(ISERROR((VLOOKUP(S6,Pitchers!B$2:AA$795,11,FALSE))),"",(VLOOKUP(S6,Pitchers!B$2:AA$795,11,FALSE)))</f>
        <v>114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X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>G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BCW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292</v>
      </c>
      <c r="T7" s="44" t="str">
        <f>IF(ISERROR((VLOOKUP(S7,Pitchers!$B$1:H$800,4,FALSE))),"",(VLOOKUP(S7,Pitchers!$B$1:H$800,4,FALSE)))</f>
        <v>HOU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6</v>
      </c>
      <c r="X7" s="47">
        <f>IF(ISERROR((VLOOKUP(S7,Pitchers!B$2:AA$795,11,FALSE))),"",(VLOOKUP(S7,Pitchers!B$2:AA$795,11,FALSE)))</f>
        <v>109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 t="s">
        <v>32</v>
      </c>
      <c r="C8" s="33" t="s">
        <v>44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1799</v>
      </c>
      <c r="T8" s="44" t="str">
        <f>IF(ISERROR((VLOOKUP(S8,Pitchers!$B$1:H$800,4,FALSE))),"",(VLOOKUP(S8,Pitchers!$B$1:H$800,4,FALSE)))</f>
        <v>MIL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6</v>
      </c>
      <c r="X8" s="47">
        <f>IF(ISERROR((VLOOKUP(S8,Pitchers!B$2:AA$795,11,FALSE))),"",(VLOOKUP(S8,Pitchers!B$2:AA$795,11,FALSE)))</f>
        <v>25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>Y</v>
      </c>
      <c r="AC8" s="52" t="str">
        <f>IF(ISERROR((VLOOKUP(S8,Pitchers!B$2:AA$795,17,FALSE))),"",(VLOOKUP(S8,Pitchers!B$2:AA$795,17,FALSE)))</f>
        <v>W</v>
      </c>
      <c r="AD8" s="53" t="str">
        <f>IF(ISERROR((VLOOKUP(S8,Pitchers!B$2:AA$795,18,FALSE))),"",(VLOOKUP(S8,Pitchers!B$2:AA$795,18,FALSE)))</f>
        <v>G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BCW</v>
      </c>
    </row>
    <row r="9" spans="1:36" ht="12.75">
      <c r="A9" s="6">
        <v>4.07</v>
      </c>
      <c r="B9" s="33" t="s">
        <v>32</v>
      </c>
      <c r="C9" s="33" t="s">
        <v>44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354</v>
      </c>
      <c r="T9" s="44" t="str">
        <f>IF(ISERROR((VLOOKUP(S9,Pitchers!$B$1:H$800,4,FALSE))),"",(VLOOKUP(S9,Pitchers!$B$1:H$800,4,FALSE)))</f>
        <v>KCR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132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BCW</v>
      </c>
    </row>
    <row r="10" spans="1:36" ht="12.75">
      <c r="A10" s="6">
        <v>4.08</v>
      </c>
      <c r="B10" s="33" t="s">
        <v>32</v>
      </c>
      <c r="C10" s="33" t="s">
        <v>44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698</v>
      </c>
      <c r="T10" s="44" t="str">
        <f>IF(ISERROR((VLOOKUP(S10,Pitchers!$B$1:H$800,4,FALSE))),"",(VLOOKUP(S10,Pitchers!$B$1:H$800,4,FALSE)))</f>
        <v>PIT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4</v>
      </c>
      <c r="X10" s="47">
        <f>IF(ISERROR((VLOOKUP(S10,Pitchers!B$2:AA$795,11,FALSE))),"",(VLOOKUP(S10,Pitchers!B$2:AA$795,11,FALSE)))</f>
        <v>43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BCW</v>
      </c>
    </row>
    <row r="11" spans="1:36" ht="12.75">
      <c r="A11" s="6">
        <v>4.09</v>
      </c>
      <c r="B11" s="33" t="s">
        <v>32</v>
      </c>
      <c r="C11" s="33" t="s">
        <v>44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68"/>
      <c r="T11" s="44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BCW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68"/>
      <c r="T12" s="44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12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4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BCW</v>
      </c>
    </row>
    <row r="14" spans="1:36" ht="12.75">
      <c r="A14" s="6">
        <v>4.12</v>
      </c>
      <c r="B14" s="33"/>
      <c r="C14" s="33" t="s">
        <v>12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4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BCW</v>
      </c>
    </row>
    <row r="15" spans="1:36" ht="12.75">
      <c r="A15" s="6">
        <v>4.13</v>
      </c>
      <c r="B15" s="33"/>
      <c r="C15" s="33" t="s">
        <v>12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4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BCW</v>
      </c>
    </row>
    <row r="16" spans="1:36" ht="12.75">
      <c r="A16" s="6">
        <v>4.1399999999999997</v>
      </c>
      <c r="B16" s="33"/>
      <c r="C16" s="33" t="s">
        <v>12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4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BCW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4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42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4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BCW</v>
      </c>
    </row>
    <row r="19" spans="1:36" ht="12.75">
      <c r="A19" s="6">
        <v>4.17</v>
      </c>
      <c r="B19" s="33"/>
      <c r="C19" s="33" t="s">
        <v>42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4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BCW</v>
      </c>
    </row>
    <row r="20" spans="1:36" ht="12.75">
      <c r="A20" s="6">
        <v>4.18</v>
      </c>
      <c r="B20" s="33"/>
      <c r="C20" s="33" t="s">
        <v>42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4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BCW</v>
      </c>
    </row>
    <row r="21" spans="1:36" ht="12.75">
      <c r="A21" s="6">
        <v>4.1900000000000004</v>
      </c>
      <c r="B21" s="33"/>
      <c r="C21" s="33" t="s">
        <v>42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4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BCW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/>
      <c r="C23" s="33" t="s">
        <v>46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BCW</v>
      </c>
    </row>
    <row r="24" spans="1:36" ht="12.75">
      <c r="A24" s="6">
        <v>4.22</v>
      </c>
      <c r="B24" s="33"/>
      <c r="C24" s="33" t="s">
        <v>46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BCW</v>
      </c>
    </row>
    <row r="25" spans="1:36" ht="12.75">
      <c r="A25" s="6">
        <v>4.2300000000000004</v>
      </c>
      <c r="B25" s="33"/>
      <c r="C25" s="33" t="s">
        <v>46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BCW</v>
      </c>
    </row>
    <row r="26" spans="1:36" ht="12.75">
      <c r="A26" s="6">
        <v>4.24</v>
      </c>
      <c r="B26" s="33"/>
      <c r="C26" s="33" t="s">
        <v>46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BCW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33" t="s">
        <v>48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BCW</v>
      </c>
    </row>
    <row r="29" spans="1:36" ht="12.75">
      <c r="A29" s="6">
        <v>4.2699999999999996</v>
      </c>
      <c r="B29" s="33" t="s">
        <v>32</v>
      </c>
      <c r="C29" s="33" t="s">
        <v>48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BCW</v>
      </c>
    </row>
    <row r="30" spans="1:36" ht="12.75">
      <c r="A30" s="6">
        <v>4.28</v>
      </c>
      <c r="B30" s="33" t="s">
        <v>32</v>
      </c>
      <c r="C30" s="33" t="s">
        <v>48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BCW</v>
      </c>
    </row>
    <row r="31" spans="1:36" ht="12.75">
      <c r="A31" s="6">
        <v>4.29</v>
      </c>
      <c r="B31" s="33" t="s">
        <v>32</v>
      </c>
      <c r="C31" s="33" t="s">
        <v>48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BCW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3" t="s">
        <v>32</v>
      </c>
      <c r="C33" s="33" t="s">
        <v>43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BCW</v>
      </c>
    </row>
    <row r="34" spans="1:36" ht="12.75">
      <c r="A34" s="6">
        <v>5.0199999999999996</v>
      </c>
      <c r="B34" s="33" t="s">
        <v>32</v>
      </c>
      <c r="C34" s="33" t="s">
        <v>43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BCW</v>
      </c>
    </row>
    <row r="35" spans="1:36" ht="12.75">
      <c r="A35" s="6">
        <v>5.03</v>
      </c>
      <c r="B35" s="33" t="s">
        <v>32</v>
      </c>
      <c r="C35" s="33" t="s">
        <v>43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BCW</v>
      </c>
    </row>
    <row r="36" spans="1:36" ht="12.75">
      <c r="A36" s="6">
        <v>5.04</v>
      </c>
      <c r="B36" s="33" t="s">
        <v>32</v>
      </c>
      <c r="C36" s="33" t="s">
        <v>43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BCW</v>
      </c>
    </row>
    <row r="37" spans="1:36" ht="12.75">
      <c r="A37" s="6">
        <v>5.05</v>
      </c>
      <c r="B37" s="32" t="s">
        <v>32</v>
      </c>
      <c r="C37" s="33" t="s">
        <v>34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BCW</v>
      </c>
    </row>
    <row r="38" spans="1:36" ht="12.75">
      <c r="A38" s="6">
        <v>5.0599999999999996</v>
      </c>
      <c r="B38" s="32" t="s">
        <v>32</v>
      </c>
      <c r="C38" s="33" t="s">
        <v>34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BCW</v>
      </c>
    </row>
    <row r="39" spans="1:36" ht="12.75">
      <c r="A39" s="6">
        <v>5.07</v>
      </c>
      <c r="B39" s="32" t="s">
        <v>32</v>
      </c>
      <c r="C39" s="33" t="s">
        <v>34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BCW</v>
      </c>
    </row>
    <row r="40" spans="1:36" ht="12.75">
      <c r="A40" s="6">
        <v>5.08</v>
      </c>
      <c r="B40" s="32" t="s">
        <v>32</v>
      </c>
      <c r="C40" s="33" t="s">
        <v>34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BCW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3" t="s">
        <v>32</v>
      </c>
      <c r="C42" s="33" t="s">
        <v>33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BCW</v>
      </c>
    </row>
    <row r="43" spans="1:36" ht="12.75">
      <c r="A43" s="6">
        <v>5.1100000000000003</v>
      </c>
      <c r="B43" s="33" t="s">
        <v>32</v>
      </c>
      <c r="C43" s="33" t="s">
        <v>33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BCW</v>
      </c>
    </row>
    <row r="44" spans="1:36" ht="12.75">
      <c r="A44" s="6">
        <v>5.12</v>
      </c>
      <c r="B44" s="33" t="s">
        <v>32</v>
      </c>
      <c r="C44" s="33" t="s">
        <v>33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BCW</v>
      </c>
    </row>
    <row r="45" spans="1:36" ht="12.75">
      <c r="A45" s="6">
        <v>5.13</v>
      </c>
      <c r="B45" s="33" t="s">
        <v>32</v>
      </c>
      <c r="C45" s="33" t="s">
        <v>33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BCW</v>
      </c>
    </row>
    <row r="46" spans="1:36" ht="12.75">
      <c r="A46" s="6">
        <v>5.14</v>
      </c>
      <c r="B46" s="33"/>
      <c r="C46" s="33" t="s">
        <v>45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BCW</v>
      </c>
    </row>
    <row r="47" spans="1:36" ht="12.75">
      <c r="A47" s="6">
        <v>5.15</v>
      </c>
      <c r="B47" s="33"/>
      <c r="C47" s="33" t="s">
        <v>45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BCW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/>
      <c r="C49" s="33" t="s">
        <v>45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BCW</v>
      </c>
    </row>
    <row r="50" spans="1:36" ht="12.75">
      <c r="A50" s="6">
        <v>5.18</v>
      </c>
      <c r="B50" s="33"/>
      <c r="C50" s="33" t="s">
        <v>45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BCW</v>
      </c>
    </row>
    <row r="51" spans="1:36" ht="12.75">
      <c r="A51" s="6">
        <v>5.19</v>
      </c>
      <c r="B51" s="33"/>
      <c r="C51" s="33" t="s">
        <v>56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BCW</v>
      </c>
    </row>
    <row r="52" spans="1:36" ht="12.75">
      <c r="A52" s="6">
        <v>5.2</v>
      </c>
      <c r="B52" s="33"/>
      <c r="C52" s="33" t="s">
        <v>56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BCW</v>
      </c>
    </row>
    <row r="53" spans="1:36" ht="12.75">
      <c r="A53" s="6">
        <v>5.21</v>
      </c>
      <c r="B53" s="33"/>
      <c r="C53" s="33" t="s">
        <v>56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BCW</v>
      </c>
    </row>
    <row r="54" spans="1:36" ht="12.75">
      <c r="A54" s="6">
        <v>5.22</v>
      </c>
      <c r="B54" s="33"/>
      <c r="C54" s="33" t="s">
        <v>56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BCW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41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BCW</v>
      </c>
    </row>
    <row r="57" spans="1:36" ht="12.75">
      <c r="A57" s="6">
        <v>5.25</v>
      </c>
      <c r="B57" s="33" t="s">
        <v>32</v>
      </c>
      <c r="C57" s="33" t="s">
        <v>41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BCW</v>
      </c>
    </row>
    <row r="58" spans="1:36" ht="12.75">
      <c r="A58" s="6">
        <v>5.26</v>
      </c>
      <c r="B58" s="33" t="s">
        <v>32</v>
      </c>
      <c r="C58" s="33" t="s">
        <v>41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BCW</v>
      </c>
    </row>
    <row r="59" spans="1:36" ht="12.75">
      <c r="A59" s="6">
        <v>5.27</v>
      </c>
      <c r="B59" s="33" t="s">
        <v>32</v>
      </c>
      <c r="C59" s="33" t="s">
        <v>41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BCW</v>
      </c>
    </row>
    <row r="60" spans="1:36" ht="12.75">
      <c r="A60" s="6">
        <v>5.28</v>
      </c>
      <c r="B60" s="33"/>
      <c r="C60" s="33" t="s">
        <v>1919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BCW</v>
      </c>
    </row>
    <row r="61" spans="1:36" ht="12.75">
      <c r="A61" s="6">
        <v>5.29</v>
      </c>
      <c r="B61" s="33"/>
      <c r="C61" s="33" t="s">
        <v>1919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BCW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3"/>
      <c r="C63" s="33" t="s">
        <v>1919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BCW</v>
      </c>
    </row>
    <row r="64" spans="1:36" ht="12.75">
      <c r="A64" s="6">
        <v>6.01</v>
      </c>
      <c r="B64" s="33"/>
      <c r="C64" s="33" t="s">
        <v>1917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BCW</v>
      </c>
    </row>
    <row r="65" spans="1:36" ht="12.75">
      <c r="A65" s="6">
        <v>6.02</v>
      </c>
      <c r="B65" s="33"/>
      <c r="C65" s="33" t="s">
        <v>1917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BCW</v>
      </c>
    </row>
    <row r="66" spans="1:36" ht="12.75">
      <c r="A66" s="6">
        <v>6.03</v>
      </c>
      <c r="B66" s="33"/>
      <c r="C66" s="33" t="s">
        <v>1917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BCW</v>
      </c>
    </row>
    <row r="67" spans="1:36" ht="12.75">
      <c r="A67" s="6">
        <v>6.04</v>
      </c>
      <c r="B67" s="33"/>
      <c r="C67" s="33" t="s">
        <v>1917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BCW</v>
      </c>
    </row>
    <row r="68" spans="1:36" ht="12.75">
      <c r="A68" s="6">
        <v>6.05</v>
      </c>
      <c r="B68" s="32" t="s">
        <v>32</v>
      </c>
      <c r="C68" s="33" t="s">
        <v>14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BCW</v>
      </c>
    </row>
    <row r="69" spans="1:36" ht="12.75">
      <c r="A69" s="6">
        <v>6.06</v>
      </c>
      <c r="B69" s="32" t="s">
        <v>32</v>
      </c>
      <c r="C69" s="33" t="s">
        <v>14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BCW</v>
      </c>
    </row>
    <row r="70" spans="1:36" ht="12.75">
      <c r="A70" s="6">
        <v>6.07</v>
      </c>
      <c r="B70" s="32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2" t="s">
        <v>32</v>
      </c>
      <c r="C71" s="33" t="s">
        <v>14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BCW</v>
      </c>
    </row>
    <row r="72" spans="1:36" ht="12.75">
      <c r="A72" s="6">
        <v>6.09</v>
      </c>
      <c r="B72" s="32" t="s">
        <v>32</v>
      </c>
      <c r="C72" s="33" t="s">
        <v>14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BCW</v>
      </c>
    </row>
    <row r="73" spans="1:36" ht="12.75">
      <c r="A73" s="6">
        <v>6.1</v>
      </c>
      <c r="B73" s="33"/>
      <c r="C73" s="33" t="s">
        <v>40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BCW</v>
      </c>
    </row>
    <row r="74" spans="1:36" ht="12.75">
      <c r="A74" s="6">
        <v>6.11</v>
      </c>
      <c r="B74" s="33"/>
      <c r="C74" s="33" t="s">
        <v>40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BCW</v>
      </c>
    </row>
    <row r="75" spans="1:36" ht="12.75">
      <c r="A75" s="6">
        <v>6.12</v>
      </c>
      <c r="B75" s="33"/>
      <c r="C75" s="33" t="s">
        <v>40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BCW</v>
      </c>
    </row>
    <row r="76" spans="1:36" ht="12.75">
      <c r="A76" s="6">
        <v>6.13</v>
      </c>
      <c r="B76" s="33"/>
      <c r="C76" s="33" t="s">
        <v>40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BCW</v>
      </c>
    </row>
    <row r="77" spans="1:36" ht="12.75">
      <c r="A77" s="6">
        <v>6.14</v>
      </c>
      <c r="B77" s="33"/>
      <c r="C77" s="33" t="s">
        <v>47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BCW</v>
      </c>
    </row>
    <row r="78" spans="1:36" ht="12.75">
      <c r="A78" s="6">
        <v>6.15</v>
      </c>
      <c r="B78" s="33"/>
      <c r="C78" s="33" t="s">
        <v>47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BCW</v>
      </c>
    </row>
    <row r="79" spans="1:36" ht="12.75">
      <c r="A79" s="6">
        <v>6.16</v>
      </c>
      <c r="B79" s="33"/>
      <c r="C79" s="33" t="s">
        <v>47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BCW</v>
      </c>
    </row>
    <row r="80" spans="1:36" ht="12.75">
      <c r="A80" s="6">
        <v>6.17</v>
      </c>
      <c r="B80" s="33"/>
      <c r="C80" s="33" t="s">
        <v>47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BCW</v>
      </c>
    </row>
    <row r="81" spans="1:36" ht="12.75">
      <c r="A81" s="6">
        <v>6.18</v>
      </c>
      <c r="B81" s="33"/>
      <c r="C81" s="33" t="s">
        <v>1191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BCW</v>
      </c>
    </row>
    <row r="82" spans="1:36" ht="12.75">
      <c r="A82" s="6">
        <v>6.19</v>
      </c>
      <c r="B82" s="33"/>
      <c r="C82" s="33" t="s">
        <v>1191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BCW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3"/>
      <c r="C84" s="33" t="s">
        <v>1191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BCW</v>
      </c>
    </row>
    <row r="85" spans="1:36" ht="12.75">
      <c r="A85" s="6">
        <v>6.22</v>
      </c>
      <c r="B85" s="33"/>
      <c r="C85" s="33" t="s">
        <v>1191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BCW</v>
      </c>
    </row>
    <row r="86" spans="1:36" ht="12.75">
      <c r="A86" s="6">
        <v>6.23</v>
      </c>
      <c r="B86" s="33" t="s">
        <v>32</v>
      </c>
      <c r="C86" s="33" t="s">
        <v>49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BCW</v>
      </c>
    </row>
    <row r="87" spans="1:36" ht="12.75">
      <c r="A87" s="6">
        <v>6.24</v>
      </c>
      <c r="B87" s="33" t="s">
        <v>32</v>
      </c>
      <c r="C87" s="33" t="s">
        <v>49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BCW</v>
      </c>
    </row>
    <row r="88" spans="1:36" ht="12.75">
      <c r="A88" s="6">
        <v>6.25</v>
      </c>
      <c r="B88" s="33" t="s">
        <v>32</v>
      </c>
      <c r="C88" s="33" t="s">
        <v>49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BCW</v>
      </c>
    </row>
    <row r="89" spans="1:36" ht="12.75">
      <c r="A89" s="6">
        <v>6.26</v>
      </c>
      <c r="B89" s="33" t="s">
        <v>32</v>
      </c>
      <c r="C89" s="33" t="s">
        <v>49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BCW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5">
      <c r="A91" s="6">
        <v>6.28</v>
      </c>
      <c r="B91" s="36" t="s">
        <v>32</v>
      </c>
      <c r="C91" s="36" t="s">
        <v>53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BCW</v>
      </c>
    </row>
    <row r="92" spans="1:36" ht="15">
      <c r="A92" s="6">
        <v>6.29</v>
      </c>
      <c r="B92" s="36" t="s">
        <v>32</v>
      </c>
      <c r="C92" s="36" t="s">
        <v>53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BCW</v>
      </c>
    </row>
    <row r="93" spans="1:36" ht="15">
      <c r="A93" s="6">
        <v>6.3</v>
      </c>
      <c r="B93" s="36" t="s">
        <v>32</v>
      </c>
      <c r="C93" s="36" t="s">
        <v>53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BCW</v>
      </c>
    </row>
    <row r="94" spans="1:36" ht="12.75">
      <c r="A94" s="6">
        <v>7.01</v>
      </c>
      <c r="B94" s="33" t="s">
        <v>32</v>
      </c>
      <c r="C94" s="33" t="s">
        <v>52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BCW</v>
      </c>
    </row>
    <row r="95" spans="1:36" ht="12.75">
      <c r="A95" s="6">
        <v>7.02</v>
      </c>
      <c r="B95" s="33" t="s">
        <v>32</v>
      </c>
      <c r="C95" s="33" t="s">
        <v>52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BCW</v>
      </c>
    </row>
    <row r="96" spans="1:36" ht="12.75">
      <c r="A96" s="6">
        <v>7.03</v>
      </c>
      <c r="B96" s="33" t="s">
        <v>32</v>
      </c>
      <c r="C96" s="33" t="s">
        <v>52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BCW</v>
      </c>
    </row>
    <row r="97" spans="1:36" ht="12.75">
      <c r="A97" s="6">
        <v>7.04</v>
      </c>
      <c r="B97" s="33"/>
      <c r="C97" s="33" t="s">
        <v>51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BCW</v>
      </c>
    </row>
    <row r="98" spans="1:36" ht="12.75">
      <c r="A98" s="6">
        <v>7.05</v>
      </c>
      <c r="B98" s="33"/>
      <c r="C98" s="33" t="s">
        <v>51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BCW</v>
      </c>
    </row>
    <row r="99" spans="1:36" ht="12.75">
      <c r="A99" s="6">
        <v>7.06</v>
      </c>
      <c r="B99" s="33"/>
      <c r="C99" s="33" t="s">
        <v>51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BCW</v>
      </c>
    </row>
    <row r="100" spans="1:36" ht="12.75">
      <c r="A100" s="6">
        <v>7.07</v>
      </c>
      <c r="B100" s="33" t="s">
        <v>32</v>
      </c>
      <c r="C100" s="33" t="s">
        <v>1918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BCW</v>
      </c>
    </row>
    <row r="101" spans="1:36" ht="12.75">
      <c r="A101" s="6">
        <v>7.08</v>
      </c>
      <c r="B101" s="33" t="s">
        <v>32</v>
      </c>
      <c r="C101" s="33" t="s">
        <v>1918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BCW</v>
      </c>
    </row>
    <row r="102" spans="1:36" ht="12.75">
      <c r="A102" s="6">
        <v>7.09</v>
      </c>
      <c r="B102" s="33" t="s">
        <v>32</v>
      </c>
      <c r="C102" s="33" t="s">
        <v>1918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BCW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2"/>
      <c r="C106" s="33" t="s">
        <v>35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BCW</v>
      </c>
    </row>
    <row r="107" spans="1:36" ht="12.75">
      <c r="A107" s="6">
        <v>7.14</v>
      </c>
      <c r="B107" s="32"/>
      <c r="C107" s="33" t="s">
        <v>35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BCW</v>
      </c>
    </row>
    <row r="108" spans="1:36" ht="12.75">
      <c r="A108" s="6">
        <v>7.15</v>
      </c>
      <c r="B108" s="32"/>
      <c r="C108" s="33" t="s">
        <v>35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BCW</v>
      </c>
    </row>
    <row r="109" spans="1:36" ht="12.75">
      <c r="A109" s="6">
        <v>7.16</v>
      </c>
      <c r="B109" s="33"/>
      <c r="C109" s="33" t="s">
        <v>54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BCW</v>
      </c>
    </row>
    <row r="110" spans="1:36" ht="12.75">
      <c r="A110" s="6">
        <v>7.17</v>
      </c>
      <c r="B110" s="33"/>
      <c r="C110" s="33" t="s">
        <v>54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BCW</v>
      </c>
    </row>
    <row r="111" spans="1:36" ht="12.75">
      <c r="A111" s="6">
        <v>7.18</v>
      </c>
      <c r="B111" s="33"/>
      <c r="C111" s="33" t="s">
        <v>54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BCW</v>
      </c>
    </row>
    <row r="112" spans="1:36" ht="12.75">
      <c r="A112" s="6">
        <v>7.19</v>
      </c>
      <c r="B112" s="33" t="s">
        <v>32</v>
      </c>
      <c r="C112" s="33" t="s">
        <v>39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BCW</v>
      </c>
    </row>
    <row r="113" spans="1:36" ht="12.75">
      <c r="A113" s="6">
        <v>7.2</v>
      </c>
      <c r="B113" s="33" t="s">
        <v>32</v>
      </c>
      <c r="C113" s="33" t="s">
        <v>39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BCW</v>
      </c>
    </row>
    <row r="114" spans="1:36" ht="12.75">
      <c r="A114" s="6">
        <v>7.21</v>
      </c>
      <c r="B114" s="33" t="s">
        <v>32</v>
      </c>
      <c r="C114" s="33" t="s">
        <v>39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BCW</v>
      </c>
    </row>
    <row r="115" spans="1:36" ht="12.75">
      <c r="A115" s="6">
        <v>7.22</v>
      </c>
      <c r="B115" s="33" t="s">
        <v>32</v>
      </c>
      <c r="C115" s="33" t="s">
        <v>39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BCW</v>
      </c>
    </row>
    <row r="116" spans="1:36" ht="12.75">
      <c r="A116" s="6">
        <v>7.23</v>
      </c>
      <c r="B116" s="32" t="s">
        <v>32</v>
      </c>
      <c r="C116" s="33" t="s">
        <v>15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BCW</v>
      </c>
    </row>
    <row r="117" spans="1:36" ht="12.75">
      <c r="A117" s="6">
        <v>7.24</v>
      </c>
      <c r="B117" s="32" t="s">
        <v>32</v>
      </c>
      <c r="C117" s="33" t="s">
        <v>15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BCW</v>
      </c>
    </row>
    <row r="118" spans="1:36" ht="12.75">
      <c r="A118" s="6">
        <v>7.25</v>
      </c>
      <c r="B118" s="32" t="s">
        <v>32</v>
      </c>
      <c r="C118" s="33" t="s">
        <v>15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BCW</v>
      </c>
    </row>
    <row r="119" spans="1:36" ht="12.75">
      <c r="A119" s="6">
        <v>7.26</v>
      </c>
      <c r="B119" s="32" t="s">
        <v>32</v>
      </c>
      <c r="C119" s="33" t="s">
        <v>15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BCW</v>
      </c>
    </row>
    <row r="120" spans="1:36" ht="12.75">
      <c r="A120" s="6">
        <v>7.27</v>
      </c>
      <c r="B120" s="32" t="s">
        <v>32</v>
      </c>
      <c r="C120" s="33" t="s">
        <v>13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BCW</v>
      </c>
    </row>
    <row r="121" spans="1:36" ht="12.75">
      <c r="A121" s="6">
        <v>7.28</v>
      </c>
      <c r="B121" s="32" t="s">
        <v>32</v>
      </c>
      <c r="C121" s="33" t="s">
        <v>13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BCW</v>
      </c>
    </row>
    <row r="122" spans="1:36" ht="12.75">
      <c r="A122" s="6">
        <v>7.29</v>
      </c>
      <c r="B122" s="32" t="s">
        <v>32</v>
      </c>
      <c r="C122" s="33" t="s">
        <v>13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BCW</v>
      </c>
    </row>
    <row r="123" spans="1:36" ht="12.75">
      <c r="A123" s="6">
        <v>7.3</v>
      </c>
      <c r="B123" s="32" t="s">
        <v>32</v>
      </c>
      <c r="C123" s="33" t="s">
        <v>13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BCW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4"/>
      <c r="C125" s="33" t="s">
        <v>16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BCW</v>
      </c>
    </row>
    <row r="126" spans="1:36" ht="12.75">
      <c r="A126" s="6">
        <v>8.02</v>
      </c>
      <c r="B126" s="34"/>
      <c r="C126" s="33" t="s">
        <v>16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BCW</v>
      </c>
    </row>
    <row r="127" spans="1:36" ht="12.75">
      <c r="A127" s="6">
        <v>8.0299999999999994</v>
      </c>
      <c r="B127" s="34"/>
      <c r="C127" s="33" t="s">
        <v>16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BCW</v>
      </c>
    </row>
    <row r="128" spans="1:36" ht="12.75">
      <c r="A128" s="6">
        <v>8.0399999999999991</v>
      </c>
      <c r="B128" s="33"/>
      <c r="C128" s="33" t="s">
        <v>16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BCW</v>
      </c>
    </row>
    <row r="129" spans="1:36" ht="12.75">
      <c r="A129" s="6">
        <v>8.0500000000000007</v>
      </c>
      <c r="B129" s="33"/>
      <c r="C129" s="33" t="s">
        <v>52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BCW</v>
      </c>
    </row>
    <row r="130" spans="1:36" ht="12.75">
      <c r="A130" s="6">
        <v>8.06</v>
      </c>
      <c r="B130" s="33"/>
      <c r="C130" s="33" t="s">
        <v>52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BCW</v>
      </c>
    </row>
    <row r="131" spans="1:36" ht="12.75">
      <c r="A131" s="6">
        <v>8.07</v>
      </c>
      <c r="B131" s="33"/>
      <c r="C131" s="33" t="s">
        <v>52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BCW</v>
      </c>
    </row>
    <row r="132" spans="1:36" ht="12.75">
      <c r="A132" s="6">
        <v>8.08</v>
      </c>
      <c r="B132" s="33"/>
      <c r="C132" s="33" t="s">
        <v>52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BCW</v>
      </c>
    </row>
    <row r="133" spans="1:36" ht="12.75">
      <c r="A133" s="6">
        <v>8.09</v>
      </c>
      <c r="B133" s="33" t="s">
        <v>32</v>
      </c>
      <c r="C133" s="33" t="s">
        <v>54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BCW</v>
      </c>
    </row>
    <row r="134" spans="1:36" ht="12.75">
      <c r="A134" s="6">
        <v>8.1</v>
      </c>
      <c r="B134" s="33" t="s">
        <v>32</v>
      </c>
      <c r="C134" s="33" t="s">
        <v>54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BCW</v>
      </c>
    </row>
    <row r="135" spans="1:36" ht="12.75">
      <c r="A135" s="6">
        <v>8.11</v>
      </c>
      <c r="B135" s="33" t="s">
        <v>32</v>
      </c>
      <c r="C135" s="33" t="s">
        <v>54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BCW</v>
      </c>
    </row>
    <row r="136" spans="1:36" ht="12.75">
      <c r="A136" s="6">
        <v>8.1199999999999992</v>
      </c>
      <c r="B136" s="33" t="s">
        <v>32</v>
      </c>
      <c r="C136" s="33" t="s">
        <v>54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BCW</v>
      </c>
    </row>
    <row r="137" spans="1:36" ht="12.75">
      <c r="A137" s="6">
        <v>8.1300000000000008</v>
      </c>
      <c r="B137" s="33"/>
      <c r="C137" s="33" t="s">
        <v>53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BCW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53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BCW</v>
      </c>
    </row>
    <row r="140" spans="1:36" ht="12.75">
      <c r="A140" s="6">
        <v>8.16</v>
      </c>
      <c r="B140" s="33"/>
      <c r="C140" s="33" t="s">
        <v>53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BCW</v>
      </c>
    </row>
    <row r="141" spans="1:36" ht="12.75">
      <c r="A141" s="6">
        <v>8.17</v>
      </c>
      <c r="B141" s="33"/>
      <c r="C141" s="33" t="s">
        <v>53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BCW</v>
      </c>
    </row>
    <row r="142" spans="1:36" ht="12.75">
      <c r="A142" s="6">
        <v>8.18</v>
      </c>
      <c r="B142" s="33"/>
      <c r="C142" s="33" t="s">
        <v>43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BCW</v>
      </c>
    </row>
    <row r="143" spans="1:36" ht="12.75">
      <c r="A143" s="6">
        <v>8.19</v>
      </c>
      <c r="B143" s="33"/>
      <c r="C143" s="33" t="s">
        <v>43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BCW</v>
      </c>
    </row>
    <row r="144" spans="1:36" ht="12.75">
      <c r="A144" s="6">
        <v>8.1999999999999993</v>
      </c>
      <c r="B144" s="33"/>
      <c r="C144" s="33" t="s">
        <v>43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BCW</v>
      </c>
    </row>
    <row r="145" spans="1:36" ht="12.75">
      <c r="A145" s="6">
        <v>8.2100000000000009</v>
      </c>
      <c r="B145" s="32" t="s">
        <v>32</v>
      </c>
      <c r="C145" s="33" t="s">
        <v>35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BCW</v>
      </c>
    </row>
    <row r="146" spans="1:36" ht="12.75">
      <c r="A146" s="6">
        <v>8.2200000000000006</v>
      </c>
      <c r="B146" s="32" t="s">
        <v>32</v>
      </c>
      <c r="C146" s="33" t="s">
        <v>35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BCW</v>
      </c>
    </row>
    <row r="147" spans="1:36" ht="12.75">
      <c r="A147" s="6">
        <v>8.23</v>
      </c>
      <c r="B147" s="32" t="s">
        <v>32</v>
      </c>
      <c r="C147" s="33" t="s">
        <v>35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BCW</v>
      </c>
    </row>
    <row r="148" spans="1:36" ht="12.75">
      <c r="A148" s="6">
        <v>8.24</v>
      </c>
      <c r="B148" s="32" t="s">
        <v>32</v>
      </c>
      <c r="C148" s="33" t="s">
        <v>35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BCW</v>
      </c>
    </row>
    <row r="149" spans="1:36" ht="12.75">
      <c r="A149" s="6">
        <v>8.25</v>
      </c>
      <c r="B149" s="33" t="s">
        <v>32</v>
      </c>
      <c r="C149" s="33" t="s">
        <v>51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BCW</v>
      </c>
    </row>
    <row r="150" spans="1:36" ht="12.75">
      <c r="A150" s="6">
        <v>8.26</v>
      </c>
      <c r="B150" s="33" t="s">
        <v>32</v>
      </c>
      <c r="C150" s="33" t="s">
        <v>51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BCW</v>
      </c>
    </row>
    <row r="151" spans="1:36" ht="12.75">
      <c r="A151" s="6">
        <v>8.27</v>
      </c>
      <c r="B151" s="33" t="s">
        <v>32</v>
      </c>
      <c r="C151" s="33" t="s">
        <v>51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BCW</v>
      </c>
    </row>
    <row r="152" spans="1:36" ht="12.75">
      <c r="A152" s="6">
        <v>8.2799999999999994</v>
      </c>
      <c r="B152" s="33" t="s">
        <v>32</v>
      </c>
      <c r="C152" s="33" t="s">
        <v>51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BCW</v>
      </c>
    </row>
    <row r="153" spans="1:36" ht="12.75">
      <c r="A153" s="6">
        <v>8.2899999999999991</v>
      </c>
      <c r="B153" s="33"/>
      <c r="C153" s="33" t="s">
        <v>34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BCW</v>
      </c>
    </row>
    <row r="154" spans="1:36" ht="12.75">
      <c r="A154" s="6">
        <v>8.3000000000000007</v>
      </c>
      <c r="B154" s="33"/>
      <c r="C154" s="33" t="s">
        <v>34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BCW</v>
      </c>
    </row>
    <row r="155" spans="1:36" ht="12.75">
      <c r="A155" s="6">
        <v>8.31</v>
      </c>
      <c r="B155" s="33"/>
      <c r="C155" s="33" t="s">
        <v>34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BCW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2" t="s">
        <v>32</v>
      </c>
      <c r="C157" s="33" t="s">
        <v>56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BCW</v>
      </c>
    </row>
    <row r="158" spans="1:36" ht="12.75">
      <c r="A158" s="6">
        <v>9.0299999999999994</v>
      </c>
      <c r="B158" s="32" t="s">
        <v>32</v>
      </c>
      <c r="C158" s="33" t="s">
        <v>56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BCW</v>
      </c>
    </row>
    <row r="159" spans="1:36" ht="12.75">
      <c r="A159" s="6">
        <v>9.0399999999999991</v>
      </c>
      <c r="B159" s="32" t="s">
        <v>32</v>
      </c>
      <c r="C159" s="33" t="s">
        <v>56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BCW</v>
      </c>
    </row>
    <row r="160" spans="1:36" ht="12.75">
      <c r="A160" s="6">
        <v>9.0500000000000007</v>
      </c>
      <c r="B160" s="33"/>
      <c r="C160" s="33" t="s">
        <v>14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BCW</v>
      </c>
    </row>
    <row r="161" spans="1:36" ht="12.75">
      <c r="A161" s="6">
        <v>9.06</v>
      </c>
      <c r="B161" s="33"/>
      <c r="C161" s="33" t="s">
        <v>14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BCW</v>
      </c>
    </row>
    <row r="162" spans="1:36" ht="12.75">
      <c r="A162" s="6">
        <v>9.07</v>
      </c>
      <c r="B162" s="33"/>
      <c r="C162" s="33" t="s">
        <v>14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BCW</v>
      </c>
    </row>
    <row r="163" spans="1:36" ht="12.75">
      <c r="A163" s="6">
        <v>9.08</v>
      </c>
      <c r="B163" s="33" t="s">
        <v>32</v>
      </c>
      <c r="C163" s="33" t="s">
        <v>45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BCW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3" t="s">
        <v>32</v>
      </c>
      <c r="C165" s="33" t="s">
        <v>45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BCW</v>
      </c>
    </row>
    <row r="166" spans="1:36" ht="12.75">
      <c r="A166" s="6">
        <v>9.11</v>
      </c>
      <c r="B166" s="33" t="s">
        <v>32</v>
      </c>
      <c r="C166" s="33" t="s">
        <v>45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BCW</v>
      </c>
    </row>
    <row r="167" spans="1:36" ht="12.75">
      <c r="A167" s="6">
        <v>9.1199999999999992</v>
      </c>
      <c r="B167" s="33" t="s">
        <v>32</v>
      </c>
      <c r="C167" s="33" t="s">
        <v>1919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BCW</v>
      </c>
    </row>
    <row r="168" spans="1:36" ht="12.75">
      <c r="A168" s="6">
        <v>9.1300000000000008</v>
      </c>
      <c r="B168" s="33" t="s">
        <v>32</v>
      </c>
      <c r="C168" s="33" t="s">
        <v>1919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BCW</v>
      </c>
    </row>
    <row r="169" spans="1:36" ht="12.75">
      <c r="A169" s="6">
        <v>9.14</v>
      </c>
      <c r="B169" s="33" t="s">
        <v>32</v>
      </c>
      <c r="C169" s="33" t="s">
        <v>1919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BCW</v>
      </c>
    </row>
    <row r="170" spans="1:36" ht="12.75">
      <c r="A170" s="6">
        <v>9.15</v>
      </c>
      <c r="B170" s="33" t="s">
        <v>32</v>
      </c>
      <c r="C170" s="33" t="s">
        <v>1919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BCW</v>
      </c>
    </row>
    <row r="171" spans="1:36" ht="12.75">
      <c r="A171" s="6">
        <v>9.16</v>
      </c>
      <c r="B171" s="33" t="s">
        <v>32</v>
      </c>
      <c r="C171" s="33" t="s">
        <v>16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BCW</v>
      </c>
    </row>
    <row r="172" spans="1:36" ht="12.75">
      <c r="A172" s="6">
        <v>9.17</v>
      </c>
      <c r="B172" s="33" t="s">
        <v>32</v>
      </c>
      <c r="C172" s="33" t="s">
        <v>16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BCW</v>
      </c>
    </row>
    <row r="173" spans="1:36" ht="12.75">
      <c r="A173" s="6">
        <v>9.18</v>
      </c>
      <c r="B173" s="33" t="s">
        <v>32</v>
      </c>
      <c r="C173" s="33" t="s">
        <v>16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BCW</v>
      </c>
    </row>
    <row r="174" spans="1:36" ht="12.75">
      <c r="A174" s="6">
        <v>9.19</v>
      </c>
      <c r="B174" s="33"/>
      <c r="C174" s="33" t="s">
        <v>1918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BCW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1918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BCW</v>
      </c>
    </row>
    <row r="177" spans="1:36" ht="12.75">
      <c r="A177" s="6">
        <v>9.2200000000000006</v>
      </c>
      <c r="B177" s="33"/>
      <c r="C177" s="33" t="s">
        <v>1918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BCW</v>
      </c>
    </row>
    <row r="178" spans="1:36" ht="12.75">
      <c r="A178" s="6">
        <v>9.23</v>
      </c>
      <c r="B178" s="33"/>
      <c r="C178" s="33" t="s">
        <v>1918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BCW</v>
      </c>
    </row>
    <row r="179" spans="1:36" ht="12.75">
      <c r="A179" s="6">
        <v>9.24</v>
      </c>
      <c r="B179" s="33" t="s">
        <v>32</v>
      </c>
      <c r="C179" s="33" t="s">
        <v>55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BCW</v>
      </c>
    </row>
    <row r="180" spans="1:36" ht="12.75">
      <c r="A180" s="6">
        <v>9.25</v>
      </c>
      <c r="B180" s="33" t="s">
        <v>32</v>
      </c>
      <c r="C180" s="33" t="s">
        <v>55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BCW</v>
      </c>
    </row>
    <row r="181" spans="1:36" ht="12.75">
      <c r="A181" s="6">
        <v>9.26</v>
      </c>
      <c r="B181" s="33" t="s">
        <v>32</v>
      </c>
      <c r="C181" s="33" t="s">
        <v>55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BCW</v>
      </c>
    </row>
    <row r="182" spans="1:36" ht="12.75">
      <c r="A182" s="6">
        <v>9.27</v>
      </c>
      <c r="B182" s="33"/>
      <c r="C182" s="33" t="s">
        <v>49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BCW</v>
      </c>
    </row>
    <row r="183" spans="1:36" ht="12.75">
      <c r="A183" s="6">
        <v>9.2799999999999994</v>
      </c>
      <c r="B183" s="33"/>
      <c r="C183" s="33" t="s">
        <v>49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BCW</v>
      </c>
    </row>
    <row r="184" spans="1:36" ht="12.75">
      <c r="A184" s="6">
        <v>9.2899999999999991</v>
      </c>
      <c r="B184" s="33"/>
      <c r="C184" s="33" t="s">
        <v>49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BCW</v>
      </c>
    </row>
    <row r="185" spans="1:36" ht="12.75">
      <c r="A185" s="6">
        <v>9.3000000000000007</v>
      </c>
      <c r="B185" s="33"/>
      <c r="C185" s="33" t="s">
        <v>49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BCW</v>
      </c>
    </row>
    <row r="186" spans="1:36">
      <c r="A186" s="6"/>
      <c r="B186" s="6"/>
      <c r="D186" s="4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6"/>
      <c r="B190" s="6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4:36"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4:36">
      <c r="K194" s="2"/>
      <c r="AJ194" s="2"/>
    </row>
    <row r="195" spans="4:36">
      <c r="K195" s="2"/>
      <c r="AJ195" s="2"/>
    </row>
    <row r="196" spans="4:36">
      <c r="K196" s="2"/>
      <c r="AJ196" s="2"/>
    </row>
    <row r="197" spans="4:36">
      <c r="K197" s="2"/>
      <c r="AJ197" s="2"/>
    </row>
    <row r="198" spans="4:36">
      <c r="K198" s="2"/>
      <c r="AJ198" s="2"/>
    </row>
    <row r="199" spans="4:36">
      <c r="K199" s="2"/>
      <c r="AJ199" s="2"/>
    </row>
    <row r="200" spans="4:36">
      <c r="K200" s="2"/>
      <c r="AJ200" s="2"/>
    </row>
    <row r="201" spans="4:36">
      <c r="K201" s="2"/>
      <c r="AJ201" s="2"/>
    </row>
    <row r="202" spans="4:36">
      <c r="K202" s="2"/>
      <c r="AJ202" s="2"/>
    </row>
    <row r="203" spans="4:36">
      <c r="K203" s="2"/>
      <c r="AJ203" s="2"/>
    </row>
    <row r="204" spans="4:36">
      <c r="AJ204" s="2"/>
    </row>
    <row r="205" spans="4:36">
      <c r="AJ205" s="2"/>
    </row>
    <row r="206" spans="4:36">
      <c r="AJ206" s="2"/>
    </row>
    <row r="207" spans="4:36">
      <c r="AJ207" s="2"/>
    </row>
    <row r="208" spans="4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7917" priority="1363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916" priority="1364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7915" priority="1365" stopIfTrue="1" operator="equal">
      <formula>"input a different starter in column C"</formula>
    </cfRule>
  </conditionalFormatting>
  <conditionalFormatting sqref="AK23">
    <cfRule type="cellIs" dxfId="7914" priority="1367" stopIfTrue="1" operator="equal">
      <formula>"must have 162 starts"</formula>
    </cfRule>
  </conditionalFormatting>
  <conditionalFormatting sqref="AG3:AG22">
    <cfRule type="cellIs" dxfId="7913" priority="1108" stopIfTrue="1" operator="equal">
      <formula>"must average at least 5 innings per start"</formula>
    </cfRule>
  </conditionalFormatting>
  <conditionalFormatting sqref="AG23">
    <cfRule type="cellIs" dxfId="7912" priority="1107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911" priority="110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910" priority="1105" stopIfTrue="1" operator="equal">
      <formula>"input starter in column C"</formula>
    </cfRule>
  </conditionalFormatting>
  <conditionalFormatting sqref="P3">
    <cfRule type="cellIs" dxfId="7909" priority="1104" stopIfTrue="1" operator="equal">
      <formula>"input starter in column D"</formula>
    </cfRule>
  </conditionalFormatting>
  <conditionalFormatting sqref="P4">
    <cfRule type="cellIs" dxfId="7908" priority="1103" stopIfTrue="1" operator="equal">
      <formula>"input starter in column D"</formula>
    </cfRule>
  </conditionalFormatting>
  <conditionalFormatting sqref="P5">
    <cfRule type="cellIs" dxfId="7907" priority="1102" stopIfTrue="1" operator="equal">
      <formula>"INPUT STARTER IN COLUMN D"</formula>
    </cfRule>
  </conditionalFormatting>
  <conditionalFormatting sqref="P6">
    <cfRule type="cellIs" dxfId="7906" priority="1101" stopIfTrue="1" operator="equal">
      <formula>"INPUT STARTER IN COLUMN D"</formula>
    </cfRule>
  </conditionalFormatting>
  <conditionalFormatting sqref="P8">
    <cfRule type="cellIs" dxfId="7905" priority="1100" stopIfTrue="1" operator="equal">
      <formula>"INPUT STARTER IN COLUMN D"</formula>
    </cfRule>
  </conditionalFormatting>
  <conditionalFormatting sqref="P9">
    <cfRule type="cellIs" dxfId="7904" priority="1099" stopIfTrue="1" operator="equal">
      <formula>"INPUT STARTER IN COLUMN D"</formula>
    </cfRule>
  </conditionalFormatting>
  <conditionalFormatting sqref="P10">
    <cfRule type="cellIs" dxfId="7903" priority="1098" stopIfTrue="1" operator="equal">
      <formula>"INPUT STARTER IN COLUMN D"</formula>
    </cfRule>
  </conditionalFormatting>
  <conditionalFormatting sqref="P11">
    <cfRule type="cellIs" dxfId="7902" priority="1097" stopIfTrue="1" operator="equal">
      <formula>"INPUT STARTER IN COLUMN D"</formula>
    </cfRule>
  </conditionalFormatting>
  <conditionalFormatting sqref="P13">
    <cfRule type="cellIs" dxfId="7901" priority="1096" stopIfTrue="1" operator="equal">
      <formula>"INPUT STARTER IN COLUMN D"</formula>
    </cfRule>
  </conditionalFormatting>
  <conditionalFormatting sqref="P14">
    <cfRule type="cellIs" dxfId="7900" priority="1095" stopIfTrue="1" operator="equal">
      <formula>"INPUT STARTER IN COLUMN D"</formula>
    </cfRule>
  </conditionalFormatting>
  <conditionalFormatting sqref="P15">
    <cfRule type="cellIs" dxfId="7899" priority="1094" stopIfTrue="1" operator="equal">
      <formula>"INPUT STARTER IN COLUMN D"</formula>
    </cfRule>
  </conditionalFormatting>
  <conditionalFormatting sqref="P16">
    <cfRule type="cellIs" dxfId="7898" priority="1093" stopIfTrue="1" operator="equal">
      <formula>"INPUT STARTER IN COLUMN D"</formula>
    </cfRule>
  </conditionalFormatting>
  <conditionalFormatting sqref="P18">
    <cfRule type="cellIs" dxfId="7897" priority="1092" stopIfTrue="1" operator="equal">
      <formula>"INPUT STARTER IN COLUMN D"</formula>
    </cfRule>
  </conditionalFormatting>
  <conditionalFormatting sqref="P19">
    <cfRule type="cellIs" dxfId="7896" priority="1091" stopIfTrue="1" operator="equal">
      <formula>"INPUT STARTER IN COLUMN D"</formula>
    </cfRule>
  </conditionalFormatting>
  <conditionalFormatting sqref="P20">
    <cfRule type="cellIs" dxfId="7895" priority="1090" stopIfTrue="1" operator="equal">
      <formula>"INPUT STARTER IN COLUMN D"</formula>
    </cfRule>
  </conditionalFormatting>
  <conditionalFormatting sqref="P21">
    <cfRule type="cellIs" dxfId="7894" priority="1089" stopIfTrue="1" operator="equal">
      <formula>"INPUT STARTER IN COLUMN D"</formula>
    </cfRule>
  </conditionalFormatting>
  <conditionalFormatting sqref="P23">
    <cfRule type="cellIs" dxfId="7893" priority="1088" stopIfTrue="1" operator="equal">
      <formula>"INPUT STARTER IN COLUMN D"</formula>
    </cfRule>
  </conditionalFormatting>
  <conditionalFormatting sqref="P24">
    <cfRule type="cellIs" dxfId="7892" priority="1087" stopIfTrue="1" operator="equal">
      <formula>"INPUT STARTER IN COLUMN D"</formula>
    </cfRule>
  </conditionalFormatting>
  <conditionalFormatting sqref="P25">
    <cfRule type="cellIs" dxfId="7891" priority="1086" stopIfTrue="1" operator="equal">
      <formula>"INPUT STARTER IN COLUMN D"</formula>
    </cfRule>
  </conditionalFormatting>
  <conditionalFormatting sqref="P26">
    <cfRule type="cellIs" dxfId="7890" priority="1085" stopIfTrue="1" operator="equal">
      <formula>"INPUT STARTER IN COLUMN D"</formula>
    </cfRule>
  </conditionalFormatting>
  <conditionalFormatting sqref="P28">
    <cfRule type="cellIs" dxfId="7889" priority="1084" stopIfTrue="1" operator="equal">
      <formula>"INPUT STARTER IN COLUMN D"</formula>
    </cfRule>
  </conditionalFormatting>
  <conditionalFormatting sqref="P29">
    <cfRule type="cellIs" dxfId="7888" priority="1083" stopIfTrue="1" operator="equal">
      <formula>"INPUT STARTER IN COLUMN D"</formula>
    </cfRule>
  </conditionalFormatting>
  <conditionalFormatting sqref="P30">
    <cfRule type="cellIs" dxfId="7887" priority="1082" stopIfTrue="1" operator="equal">
      <formula>"INPUT STARTER IN COLUMN D"</formula>
    </cfRule>
  </conditionalFormatting>
  <conditionalFormatting sqref="P31">
    <cfRule type="cellIs" dxfId="7886" priority="1081" stopIfTrue="1" operator="equal">
      <formula>"INPUT STARTER IN COLUMN D"</formula>
    </cfRule>
  </conditionalFormatting>
  <conditionalFormatting sqref="P33">
    <cfRule type="cellIs" dxfId="7885" priority="1080" stopIfTrue="1" operator="equal">
      <formula>"INPUT STARTER IN COLUMN D"</formula>
    </cfRule>
  </conditionalFormatting>
  <conditionalFormatting sqref="P34">
    <cfRule type="cellIs" dxfId="7884" priority="1079" stopIfTrue="1" operator="equal">
      <formula>"INPUT STARTER IN COLUMN D"</formula>
    </cfRule>
  </conditionalFormatting>
  <conditionalFormatting sqref="P35">
    <cfRule type="cellIs" dxfId="7883" priority="1078" stopIfTrue="1" operator="equal">
      <formula>"INPUT STARTER IN COLUMN D"</formula>
    </cfRule>
  </conditionalFormatting>
  <conditionalFormatting sqref="P36">
    <cfRule type="cellIs" dxfId="7882" priority="1077" stopIfTrue="1" operator="equal">
      <formula>"INPUT STARTER IN COLUMN D"</formula>
    </cfRule>
  </conditionalFormatting>
  <conditionalFormatting sqref="P37">
    <cfRule type="cellIs" dxfId="7881" priority="1076" stopIfTrue="1" operator="equal">
      <formula>"INPUT STARTER IN COLUMN D"</formula>
    </cfRule>
  </conditionalFormatting>
  <conditionalFormatting sqref="P38">
    <cfRule type="cellIs" dxfId="7880" priority="1075" stopIfTrue="1" operator="equal">
      <formula>"INPUT STARTER IN COLUMN D"</formula>
    </cfRule>
  </conditionalFormatting>
  <conditionalFormatting sqref="P39">
    <cfRule type="cellIs" dxfId="7879" priority="1074" stopIfTrue="1" operator="equal">
      <formula>"INPUT STARTER IN COLUMN D"</formula>
    </cfRule>
  </conditionalFormatting>
  <conditionalFormatting sqref="P40">
    <cfRule type="cellIs" dxfId="7878" priority="1073" stopIfTrue="1" operator="equal">
      <formula>"INPUT STARTER IN COLUMN D"</formula>
    </cfRule>
  </conditionalFormatting>
  <conditionalFormatting sqref="P42">
    <cfRule type="cellIs" dxfId="7877" priority="1072" stopIfTrue="1" operator="equal">
      <formula>"INPUT STARTER IN COLUMN D"</formula>
    </cfRule>
  </conditionalFormatting>
  <conditionalFormatting sqref="P43">
    <cfRule type="cellIs" dxfId="7876" priority="1071" stopIfTrue="1" operator="equal">
      <formula>"INPUT STARTER IN COLUMN D"</formula>
    </cfRule>
  </conditionalFormatting>
  <conditionalFormatting sqref="P44">
    <cfRule type="cellIs" dxfId="7875" priority="1070" stopIfTrue="1" operator="equal">
      <formula>"INPUT STARTER IN COLUMN D"</formula>
    </cfRule>
  </conditionalFormatting>
  <conditionalFormatting sqref="P45">
    <cfRule type="cellIs" dxfId="7874" priority="1069" stopIfTrue="1" operator="equal">
      <formula>"INPUT STARTER IN COLUMN D"</formula>
    </cfRule>
  </conditionalFormatting>
  <conditionalFormatting sqref="P46">
    <cfRule type="cellIs" dxfId="7873" priority="1068" stopIfTrue="1" operator="equal">
      <formula>"INPUT STARTER IN COLUMN D"</formula>
    </cfRule>
  </conditionalFormatting>
  <conditionalFormatting sqref="P47">
    <cfRule type="cellIs" dxfId="7872" priority="1067" stopIfTrue="1" operator="equal">
      <formula>"INPUT STARTER IN COLUMN D"</formula>
    </cfRule>
  </conditionalFormatting>
  <conditionalFormatting sqref="P49">
    <cfRule type="cellIs" dxfId="7871" priority="1066" stopIfTrue="1" operator="equal">
      <formula>"INPUT STARTER IN COLUMN D"</formula>
    </cfRule>
  </conditionalFormatting>
  <conditionalFormatting sqref="P50">
    <cfRule type="cellIs" dxfId="7870" priority="1065" stopIfTrue="1" operator="equal">
      <formula>"INPUT STARTER IN COLUMN D"</formula>
    </cfRule>
  </conditionalFormatting>
  <conditionalFormatting sqref="P51">
    <cfRule type="cellIs" dxfId="7869" priority="1064" stopIfTrue="1" operator="equal">
      <formula>"INPUT STARTER IN COLUMN D"</formula>
    </cfRule>
  </conditionalFormatting>
  <conditionalFormatting sqref="P52">
    <cfRule type="cellIs" dxfId="7868" priority="1063" stopIfTrue="1" operator="equal">
      <formula>"INPUT STARTER IN COLUMN D"</formula>
    </cfRule>
  </conditionalFormatting>
  <conditionalFormatting sqref="P53">
    <cfRule type="cellIs" dxfId="7867" priority="1062" stopIfTrue="1" operator="equal">
      <formula>"INPUT STARTER IN COLUMN D"</formula>
    </cfRule>
  </conditionalFormatting>
  <conditionalFormatting sqref="P54">
    <cfRule type="cellIs" dxfId="7866" priority="1061" stopIfTrue="1" operator="equal">
      <formula>"INPUT STARTER IN COLUMN D"</formula>
    </cfRule>
  </conditionalFormatting>
  <conditionalFormatting sqref="P56">
    <cfRule type="cellIs" dxfId="7865" priority="1060" stopIfTrue="1" operator="equal">
      <formula>"INPUT STARTER IN COLUMN D"</formula>
    </cfRule>
  </conditionalFormatting>
  <conditionalFormatting sqref="P57">
    <cfRule type="cellIs" dxfId="7864" priority="1059" stopIfTrue="1" operator="equal">
      <formula>"INPUT STARTER IN COLUMN D"</formula>
    </cfRule>
  </conditionalFormatting>
  <conditionalFormatting sqref="P58">
    <cfRule type="cellIs" dxfId="7863" priority="1058" stopIfTrue="1" operator="equal">
      <formula>"INPUT STARTER IN COLUMN D"</formula>
    </cfRule>
  </conditionalFormatting>
  <conditionalFormatting sqref="P59">
    <cfRule type="cellIs" dxfId="7862" priority="1057" stopIfTrue="1" operator="equal">
      <formula>"INPUT STARTER IN COLUMN D"</formula>
    </cfRule>
  </conditionalFormatting>
  <conditionalFormatting sqref="P60">
    <cfRule type="cellIs" dxfId="7861" priority="1056" stopIfTrue="1" operator="equal">
      <formula>"INPUT STARTER IN COLUMN D"</formula>
    </cfRule>
  </conditionalFormatting>
  <conditionalFormatting sqref="P61">
    <cfRule type="cellIs" dxfId="7860" priority="1055" stopIfTrue="1" operator="equal">
      <formula>"INPUT STARTER IN COLUMN D"</formula>
    </cfRule>
  </conditionalFormatting>
  <conditionalFormatting sqref="P63">
    <cfRule type="cellIs" dxfId="7859" priority="1054" stopIfTrue="1" operator="equal">
      <formula>"INPUT STARTER IN COLUMN D"</formula>
    </cfRule>
  </conditionalFormatting>
  <conditionalFormatting sqref="P64">
    <cfRule type="cellIs" dxfId="7858" priority="1053" stopIfTrue="1" operator="equal">
      <formula>"INPUT STARTER IN COLUMN D"</formula>
    </cfRule>
  </conditionalFormatting>
  <conditionalFormatting sqref="P65">
    <cfRule type="cellIs" dxfId="7857" priority="1052" stopIfTrue="1" operator="equal">
      <formula>"INPUT STARTER IN COLUMN D"</formula>
    </cfRule>
  </conditionalFormatting>
  <conditionalFormatting sqref="P66">
    <cfRule type="cellIs" dxfId="7856" priority="1051" stopIfTrue="1" operator="equal">
      <formula>"INPUT STARTER IN COLUMN D"</formula>
    </cfRule>
  </conditionalFormatting>
  <conditionalFormatting sqref="P67">
    <cfRule type="cellIs" dxfId="7855" priority="1050" stopIfTrue="1" operator="equal">
      <formula>"INPUT STARTER IN COLUMN D"</formula>
    </cfRule>
  </conditionalFormatting>
  <conditionalFormatting sqref="P68">
    <cfRule type="cellIs" dxfId="7854" priority="1049" stopIfTrue="1" operator="equal">
      <formula>"INPUT STARTER IN COLUMN D"</formula>
    </cfRule>
  </conditionalFormatting>
  <conditionalFormatting sqref="P69">
    <cfRule type="cellIs" dxfId="7853" priority="1048" stopIfTrue="1" operator="equal">
      <formula>"INPUT STARTER IN COLUMN D"</formula>
    </cfRule>
  </conditionalFormatting>
  <conditionalFormatting sqref="P71">
    <cfRule type="cellIs" dxfId="7852" priority="1047" stopIfTrue="1" operator="equal">
      <formula>"INPUT STARTER IN COLUMN D"</formula>
    </cfRule>
  </conditionalFormatting>
  <conditionalFormatting sqref="P72">
    <cfRule type="cellIs" dxfId="7851" priority="1046" stopIfTrue="1" operator="equal">
      <formula>"INPUT STARTER IN COLUMN D"</formula>
    </cfRule>
  </conditionalFormatting>
  <conditionalFormatting sqref="P73">
    <cfRule type="cellIs" dxfId="7850" priority="1045" stopIfTrue="1" operator="equal">
      <formula>"INPUT STARTER IN COLUMN D"</formula>
    </cfRule>
  </conditionalFormatting>
  <conditionalFormatting sqref="P74">
    <cfRule type="cellIs" dxfId="7849" priority="1044" stopIfTrue="1" operator="equal">
      <formula>"INPUT STARTER IN COLUMN D"</formula>
    </cfRule>
  </conditionalFormatting>
  <conditionalFormatting sqref="P75">
    <cfRule type="cellIs" dxfId="7848" priority="1043" stopIfTrue="1" operator="equal">
      <formula>"INPUT STARTER IN COLUMN D"</formula>
    </cfRule>
  </conditionalFormatting>
  <conditionalFormatting sqref="P76">
    <cfRule type="cellIs" dxfId="7847" priority="1042" stopIfTrue="1" operator="equal">
      <formula>"INPUT STARTER IN COLUMN D"</formula>
    </cfRule>
  </conditionalFormatting>
  <conditionalFormatting sqref="P77">
    <cfRule type="cellIs" dxfId="7846" priority="1041" stopIfTrue="1" operator="equal">
      <formula>"INPUT STARTER IN COLUMN D"</formula>
    </cfRule>
  </conditionalFormatting>
  <conditionalFormatting sqref="P78">
    <cfRule type="cellIs" dxfId="7845" priority="1040" stopIfTrue="1" operator="equal">
      <formula>"INPUT STARTER IN COLUMN D"</formula>
    </cfRule>
  </conditionalFormatting>
  <conditionalFormatting sqref="P79">
    <cfRule type="cellIs" dxfId="7844" priority="1039" stopIfTrue="1" operator="equal">
      <formula>"INPUT STARTER IN COLUMN D"</formula>
    </cfRule>
  </conditionalFormatting>
  <conditionalFormatting sqref="P80">
    <cfRule type="cellIs" dxfId="7843" priority="1038" stopIfTrue="1" operator="equal">
      <formula>"INPUT STARTER IN COLUMN D"</formula>
    </cfRule>
  </conditionalFormatting>
  <conditionalFormatting sqref="P81">
    <cfRule type="cellIs" dxfId="7842" priority="1037" stopIfTrue="1" operator="equal">
      <formula>"INPUT STARTER IN COLUMN D"</formula>
    </cfRule>
  </conditionalFormatting>
  <conditionalFormatting sqref="P82">
    <cfRule type="cellIs" dxfId="7841" priority="1036" stopIfTrue="1" operator="equal">
      <formula>"INPUT STARTER IN COLUMN D"</formula>
    </cfRule>
  </conditionalFormatting>
  <conditionalFormatting sqref="P84">
    <cfRule type="cellIs" dxfId="7840" priority="1035" stopIfTrue="1" operator="equal">
      <formula>"INPUT STARTER IN COLUMN D"</formula>
    </cfRule>
  </conditionalFormatting>
  <conditionalFormatting sqref="P85">
    <cfRule type="cellIs" dxfId="7839" priority="1034" stopIfTrue="1" operator="equal">
      <formula>"INPUT STARTER IN COLUMN D"</formula>
    </cfRule>
  </conditionalFormatting>
  <conditionalFormatting sqref="P86">
    <cfRule type="cellIs" dxfId="7838" priority="1033" stopIfTrue="1" operator="equal">
      <formula>"INPUT STARTER IN COLUMN D"</formula>
    </cfRule>
  </conditionalFormatting>
  <conditionalFormatting sqref="P87">
    <cfRule type="cellIs" dxfId="7837" priority="1032" stopIfTrue="1" operator="equal">
      <formula>"INPUT STARTER IN COLUMN D"</formula>
    </cfRule>
  </conditionalFormatting>
  <conditionalFormatting sqref="P88">
    <cfRule type="cellIs" dxfId="7836" priority="1031" stopIfTrue="1" operator="equal">
      <formula>"INPUT STARTER IN COLUMN D"</formula>
    </cfRule>
  </conditionalFormatting>
  <conditionalFormatting sqref="P89">
    <cfRule type="cellIs" dxfId="7835" priority="1030" stopIfTrue="1" operator="equal">
      <formula>"INPUT STARTER IN COLUMN D"</formula>
    </cfRule>
  </conditionalFormatting>
  <conditionalFormatting sqref="P91">
    <cfRule type="cellIs" dxfId="7834" priority="1029" stopIfTrue="1" operator="equal">
      <formula>"INPUT STARTER IN COLUMN D"</formula>
    </cfRule>
  </conditionalFormatting>
  <conditionalFormatting sqref="P92">
    <cfRule type="cellIs" dxfId="7833" priority="1028" stopIfTrue="1" operator="equal">
      <formula>"INPUT STARTER IN COLUMN D"</formula>
    </cfRule>
  </conditionalFormatting>
  <conditionalFormatting sqref="P93">
    <cfRule type="cellIs" dxfId="7832" priority="1027" stopIfTrue="1" operator="equal">
      <formula>"INPUT STARTER IN COLUMN D"</formula>
    </cfRule>
  </conditionalFormatting>
  <conditionalFormatting sqref="P94">
    <cfRule type="cellIs" dxfId="7831" priority="1026" stopIfTrue="1" operator="equal">
      <formula>"INPUT STARTER IN COLUMN D"</formula>
    </cfRule>
  </conditionalFormatting>
  <conditionalFormatting sqref="P95">
    <cfRule type="cellIs" dxfId="7830" priority="1025" stopIfTrue="1" operator="equal">
      <formula>"INPUT STARTER IN COLUMN D"</formula>
    </cfRule>
  </conditionalFormatting>
  <conditionalFormatting sqref="P96">
    <cfRule type="cellIs" dxfId="7829" priority="1024" stopIfTrue="1" operator="equal">
      <formula>"INPUT STARTER IN COLUMN D"</formula>
    </cfRule>
  </conditionalFormatting>
  <conditionalFormatting sqref="P97">
    <cfRule type="cellIs" dxfId="7828" priority="1023" stopIfTrue="1" operator="equal">
      <formula>"INPUT STARTER IN COLUMN D"</formula>
    </cfRule>
  </conditionalFormatting>
  <conditionalFormatting sqref="P98">
    <cfRule type="cellIs" dxfId="7827" priority="1022" stopIfTrue="1" operator="equal">
      <formula>"INPUT STARTER IN COLUMN D"</formula>
    </cfRule>
  </conditionalFormatting>
  <conditionalFormatting sqref="P99">
    <cfRule type="cellIs" dxfId="7826" priority="1021" stopIfTrue="1" operator="equal">
      <formula>"INPUT STARTER IN COLUMN D"</formula>
    </cfRule>
  </conditionalFormatting>
  <conditionalFormatting sqref="P100">
    <cfRule type="cellIs" dxfId="7825" priority="1020" stopIfTrue="1" operator="equal">
      <formula>"INPUT STARTER IN COLUMN D"</formula>
    </cfRule>
  </conditionalFormatting>
  <conditionalFormatting sqref="P101">
    <cfRule type="cellIs" dxfId="7824" priority="1019" stopIfTrue="1" operator="equal">
      <formula>"INPUT STARTER IN COLUMN D"</formula>
    </cfRule>
  </conditionalFormatting>
  <conditionalFormatting sqref="P102">
    <cfRule type="cellIs" dxfId="7823" priority="1018" stopIfTrue="1" operator="equal">
      <formula>"INPUT STARTER IN COLUMN D"</formula>
    </cfRule>
  </conditionalFormatting>
  <conditionalFormatting sqref="P106">
    <cfRule type="cellIs" dxfId="7822" priority="1017" stopIfTrue="1" operator="equal">
      <formula>"INPUT STARTER IN COLUMN D"</formula>
    </cfRule>
  </conditionalFormatting>
  <conditionalFormatting sqref="P107">
    <cfRule type="cellIs" dxfId="7821" priority="1016" stopIfTrue="1" operator="equal">
      <formula>"INPUT STARTER IN COLUMN D"</formula>
    </cfRule>
  </conditionalFormatting>
  <conditionalFormatting sqref="P108">
    <cfRule type="cellIs" dxfId="7820" priority="1015" stopIfTrue="1" operator="equal">
      <formula>"INPUT STARTER IN COLUMN D"</formula>
    </cfRule>
  </conditionalFormatting>
  <conditionalFormatting sqref="P109">
    <cfRule type="cellIs" dxfId="7819" priority="1014" stopIfTrue="1" operator="equal">
      <formula>"INPUT STARTER IN COLUMN D"</formula>
    </cfRule>
  </conditionalFormatting>
  <conditionalFormatting sqref="P110">
    <cfRule type="cellIs" dxfId="7818" priority="1013" stopIfTrue="1" operator="equal">
      <formula>"INPUT STARTER IN COLUMN D"</formula>
    </cfRule>
  </conditionalFormatting>
  <conditionalFormatting sqref="P111">
    <cfRule type="cellIs" dxfId="7817" priority="1012" stopIfTrue="1" operator="equal">
      <formula>"INPUT STARTER IN COLUMN D"</formula>
    </cfRule>
  </conditionalFormatting>
  <conditionalFormatting sqref="P112">
    <cfRule type="cellIs" dxfId="7816" priority="1011" stopIfTrue="1" operator="equal">
      <formula>"INPUT STARTER IN COLUMN D"</formula>
    </cfRule>
  </conditionalFormatting>
  <conditionalFormatting sqref="P113">
    <cfRule type="cellIs" dxfId="7815" priority="1010" stopIfTrue="1" operator="equal">
      <formula>"INPUT STARTER IN COLUMN D"</formula>
    </cfRule>
  </conditionalFormatting>
  <conditionalFormatting sqref="P114">
    <cfRule type="cellIs" dxfId="7814" priority="1009" stopIfTrue="1" operator="equal">
      <formula>"INPUT STARTER IN COLUMN D"</formula>
    </cfRule>
  </conditionalFormatting>
  <conditionalFormatting sqref="P115">
    <cfRule type="cellIs" dxfId="7813" priority="1008" stopIfTrue="1" operator="equal">
      <formula>"INPUT STARTER IN COLUMN D"</formula>
    </cfRule>
  </conditionalFormatting>
  <conditionalFormatting sqref="P116">
    <cfRule type="cellIs" dxfId="7812" priority="1007" stopIfTrue="1" operator="equal">
      <formula>"INPUT STARTER IN COLUMN D"</formula>
    </cfRule>
  </conditionalFormatting>
  <conditionalFormatting sqref="P117">
    <cfRule type="cellIs" dxfId="7811" priority="1006" stopIfTrue="1" operator="equal">
      <formula>"INPUT STARTER IN COLUMN D"</formula>
    </cfRule>
  </conditionalFormatting>
  <conditionalFormatting sqref="P118">
    <cfRule type="cellIs" dxfId="7810" priority="1005" stopIfTrue="1" operator="equal">
      <formula>"INPUT STARTER IN COLUMN D"</formula>
    </cfRule>
  </conditionalFormatting>
  <conditionalFormatting sqref="P119">
    <cfRule type="cellIs" dxfId="7809" priority="1004" stopIfTrue="1" operator="equal">
      <formula>"INPUT STARTER IN COLUMN D"</formula>
    </cfRule>
  </conditionalFormatting>
  <conditionalFormatting sqref="P120">
    <cfRule type="cellIs" dxfId="7808" priority="1003" stopIfTrue="1" operator="equal">
      <formula>"INPUT STARTER IN COLUMN D"</formula>
    </cfRule>
  </conditionalFormatting>
  <conditionalFormatting sqref="P121">
    <cfRule type="cellIs" dxfId="7807" priority="1002" stopIfTrue="1" operator="equal">
      <formula>"INPUT STARTER IN COLUMN D"</formula>
    </cfRule>
  </conditionalFormatting>
  <conditionalFormatting sqref="P122">
    <cfRule type="cellIs" dxfId="7806" priority="1001" stopIfTrue="1" operator="equal">
      <formula>"INPUT STARTER IN COLUMN D"</formula>
    </cfRule>
  </conditionalFormatting>
  <conditionalFormatting sqref="P123">
    <cfRule type="cellIs" dxfId="7805" priority="1000" stopIfTrue="1" operator="equal">
      <formula>"INPUT STARTER IN COLUMN D"</formula>
    </cfRule>
  </conditionalFormatting>
  <conditionalFormatting sqref="P125">
    <cfRule type="cellIs" dxfId="7804" priority="999" stopIfTrue="1" operator="equal">
      <formula>"INPUT STARTER IN COLUMN D"</formula>
    </cfRule>
  </conditionalFormatting>
  <conditionalFormatting sqref="P126">
    <cfRule type="cellIs" dxfId="7803" priority="998" stopIfTrue="1" operator="equal">
      <formula>"INPUT STARTER IN COLUMN D"</formula>
    </cfRule>
  </conditionalFormatting>
  <conditionalFormatting sqref="P127">
    <cfRule type="cellIs" dxfId="7802" priority="997" stopIfTrue="1" operator="equal">
      <formula>"INPUT STARTER IN COLUMN D"</formula>
    </cfRule>
  </conditionalFormatting>
  <conditionalFormatting sqref="P128">
    <cfRule type="cellIs" dxfId="7801" priority="996" stopIfTrue="1" operator="equal">
      <formula>"INPUT STARTER IN COLUMN D"</formula>
    </cfRule>
  </conditionalFormatting>
  <conditionalFormatting sqref="P129">
    <cfRule type="cellIs" dxfId="7800" priority="995" stopIfTrue="1" operator="equal">
      <formula>"INPUT STARTER IN COLUMN D"</formula>
    </cfRule>
  </conditionalFormatting>
  <conditionalFormatting sqref="P130">
    <cfRule type="cellIs" dxfId="7799" priority="994" stopIfTrue="1" operator="equal">
      <formula>"INPUT STARTER IN COLUMN D"</formula>
    </cfRule>
  </conditionalFormatting>
  <conditionalFormatting sqref="P131">
    <cfRule type="cellIs" dxfId="7798" priority="993" stopIfTrue="1" operator="equal">
      <formula>"INPUT STARTER IN COLUMN D"</formula>
    </cfRule>
  </conditionalFormatting>
  <conditionalFormatting sqref="P132">
    <cfRule type="cellIs" dxfId="7797" priority="992" stopIfTrue="1" operator="equal">
      <formula>"INPUT STARTER IN COLUMN D"</formula>
    </cfRule>
  </conditionalFormatting>
  <conditionalFormatting sqref="P133">
    <cfRule type="cellIs" dxfId="7796" priority="991" stopIfTrue="1" operator="equal">
      <formula>"INPUT STARTER IN COLUMN D"</formula>
    </cfRule>
  </conditionalFormatting>
  <conditionalFormatting sqref="P134">
    <cfRule type="cellIs" dxfId="7795" priority="990" stopIfTrue="1" operator="equal">
      <formula>"INPUT STARTER IN COLUMN D"</formula>
    </cfRule>
  </conditionalFormatting>
  <conditionalFormatting sqref="P135">
    <cfRule type="cellIs" dxfId="7794" priority="989" stopIfTrue="1" operator="equal">
      <formula>"INPUT STARTER IN COLUMN D"</formula>
    </cfRule>
  </conditionalFormatting>
  <conditionalFormatting sqref="P136">
    <cfRule type="cellIs" dxfId="7793" priority="988" stopIfTrue="1" operator="equal">
      <formula>"INPUT STARTER IN COLUMN D"</formula>
    </cfRule>
  </conditionalFormatting>
  <conditionalFormatting sqref="P137">
    <cfRule type="cellIs" dxfId="7792" priority="987" stopIfTrue="1" operator="equal">
      <formula>"INPUT STARTER IN COLUMN D"</formula>
    </cfRule>
  </conditionalFormatting>
  <conditionalFormatting sqref="P139">
    <cfRule type="cellIs" dxfId="7791" priority="986" stopIfTrue="1" operator="equal">
      <formula>"INPUT STARTER IN COLUMN D"</formula>
    </cfRule>
  </conditionalFormatting>
  <conditionalFormatting sqref="P140">
    <cfRule type="cellIs" dxfId="7790" priority="985" stopIfTrue="1" operator="equal">
      <formula>"INPUT STARTER IN COLUMN D"</formula>
    </cfRule>
  </conditionalFormatting>
  <conditionalFormatting sqref="P141">
    <cfRule type="cellIs" dxfId="7789" priority="984" stopIfTrue="1" operator="equal">
      <formula>"INPUT STARTER IN COLUMN D"</formula>
    </cfRule>
  </conditionalFormatting>
  <conditionalFormatting sqref="P142">
    <cfRule type="cellIs" dxfId="7788" priority="983" stopIfTrue="1" operator="equal">
      <formula>"INPUT STARTER IN COLUMN D"</formula>
    </cfRule>
  </conditionalFormatting>
  <conditionalFormatting sqref="P143">
    <cfRule type="cellIs" dxfId="7787" priority="982" stopIfTrue="1" operator="equal">
      <formula>"INPUT STARTER IN COLUMN D"</formula>
    </cfRule>
  </conditionalFormatting>
  <conditionalFormatting sqref="P144">
    <cfRule type="cellIs" dxfId="7786" priority="981" stopIfTrue="1" operator="equal">
      <formula>"INPUT STARTER IN COLUMN D"</formula>
    </cfRule>
  </conditionalFormatting>
  <conditionalFormatting sqref="P145">
    <cfRule type="cellIs" dxfId="7785" priority="980" stopIfTrue="1" operator="equal">
      <formula>"INPUT STARTER IN COLUMN D"</formula>
    </cfRule>
  </conditionalFormatting>
  <conditionalFormatting sqref="P146">
    <cfRule type="cellIs" dxfId="7784" priority="979" stopIfTrue="1" operator="equal">
      <formula>"INPUT STARTER IN COLUMN D"</formula>
    </cfRule>
  </conditionalFormatting>
  <conditionalFormatting sqref="P147">
    <cfRule type="cellIs" dxfId="7783" priority="978" stopIfTrue="1" operator="equal">
      <formula>"INPUT STARTER IN COLUMN D"</formula>
    </cfRule>
  </conditionalFormatting>
  <conditionalFormatting sqref="P148">
    <cfRule type="cellIs" dxfId="7782" priority="977" stopIfTrue="1" operator="equal">
      <formula>"INPUT STARTER IN COLUMN D"</formula>
    </cfRule>
  </conditionalFormatting>
  <conditionalFormatting sqref="P149">
    <cfRule type="cellIs" dxfId="7781" priority="976" stopIfTrue="1" operator="equal">
      <formula>"INPUT STARTER IN COLUMN D"</formula>
    </cfRule>
  </conditionalFormatting>
  <conditionalFormatting sqref="P150">
    <cfRule type="cellIs" dxfId="7780" priority="975" stopIfTrue="1" operator="equal">
      <formula>"INPUT STARTER IN COLUMN D"</formula>
    </cfRule>
  </conditionalFormatting>
  <conditionalFormatting sqref="P151">
    <cfRule type="cellIs" dxfId="7779" priority="974" stopIfTrue="1" operator="equal">
      <formula>"INPUT STARTER IN COLUMN D"</formula>
    </cfRule>
  </conditionalFormatting>
  <conditionalFormatting sqref="P152">
    <cfRule type="cellIs" dxfId="7778" priority="973" stopIfTrue="1" operator="equal">
      <formula>"INPUT STARTER IN COLUMN D"</formula>
    </cfRule>
  </conditionalFormatting>
  <conditionalFormatting sqref="P153">
    <cfRule type="cellIs" dxfId="7777" priority="972" stopIfTrue="1" operator="equal">
      <formula>"INPUT STARTER IN COLUMN D"</formula>
    </cfRule>
  </conditionalFormatting>
  <conditionalFormatting sqref="P154">
    <cfRule type="cellIs" dxfId="7776" priority="971" stopIfTrue="1" operator="equal">
      <formula>"INPUT STARTER IN COLUMN D"</formula>
    </cfRule>
  </conditionalFormatting>
  <conditionalFormatting sqref="P155">
    <cfRule type="cellIs" dxfId="7775" priority="970" stopIfTrue="1" operator="equal">
      <formula>"INPUT STARTER IN COLUMN D"</formula>
    </cfRule>
  </conditionalFormatting>
  <conditionalFormatting sqref="P157">
    <cfRule type="cellIs" dxfId="7774" priority="969" stopIfTrue="1" operator="equal">
      <formula>"INPUT STARTER IN COLUMN D"</formula>
    </cfRule>
  </conditionalFormatting>
  <conditionalFormatting sqref="P158">
    <cfRule type="cellIs" dxfId="7773" priority="968" stopIfTrue="1" operator="equal">
      <formula>"INPUT STARTER IN COLUMN D"</formula>
    </cfRule>
  </conditionalFormatting>
  <conditionalFormatting sqref="P159">
    <cfRule type="cellIs" dxfId="7772" priority="967" stopIfTrue="1" operator="equal">
      <formula>"INPUT STARTER IN COLUMN D"</formula>
    </cfRule>
  </conditionalFormatting>
  <conditionalFormatting sqref="P160">
    <cfRule type="cellIs" dxfId="7771" priority="966" stopIfTrue="1" operator="equal">
      <formula>"INPUT STARTER IN COLUMN D"</formula>
    </cfRule>
  </conditionalFormatting>
  <conditionalFormatting sqref="P161">
    <cfRule type="cellIs" dxfId="7770" priority="965" stopIfTrue="1" operator="equal">
      <formula>"INPUT STARTER IN COLUMN D"</formula>
    </cfRule>
  </conditionalFormatting>
  <conditionalFormatting sqref="P162">
    <cfRule type="cellIs" dxfId="7769" priority="964" stopIfTrue="1" operator="equal">
      <formula>"INPUT STARTER IN COLUMN D"</formula>
    </cfRule>
  </conditionalFormatting>
  <conditionalFormatting sqref="P163">
    <cfRule type="cellIs" dxfId="7768" priority="963" stopIfTrue="1" operator="equal">
      <formula>"INPUT STARTER IN COLUMN D"</formula>
    </cfRule>
  </conditionalFormatting>
  <conditionalFormatting sqref="P165">
    <cfRule type="cellIs" dxfId="7767" priority="962" stopIfTrue="1" operator="equal">
      <formula>"INPUT STARTER IN COLUMN D"</formula>
    </cfRule>
  </conditionalFormatting>
  <conditionalFormatting sqref="P166">
    <cfRule type="cellIs" dxfId="7766" priority="961" stopIfTrue="1" operator="equal">
      <formula>"INPUT STARTER IN COLUMN D"</formula>
    </cfRule>
  </conditionalFormatting>
  <conditionalFormatting sqref="P167">
    <cfRule type="cellIs" dxfId="7765" priority="960" stopIfTrue="1" operator="equal">
      <formula>"INPUT STARTER IN COLUMN D"</formula>
    </cfRule>
  </conditionalFormatting>
  <conditionalFormatting sqref="P168">
    <cfRule type="cellIs" dxfId="7764" priority="959" stopIfTrue="1" operator="equal">
      <formula>"INPUT STARTER IN COLUMN D"</formula>
    </cfRule>
  </conditionalFormatting>
  <conditionalFormatting sqref="P169">
    <cfRule type="cellIs" dxfId="7763" priority="958" stopIfTrue="1" operator="equal">
      <formula>"INPUT STARTER IN COLUMN D"</formula>
    </cfRule>
  </conditionalFormatting>
  <conditionalFormatting sqref="P170">
    <cfRule type="cellIs" dxfId="7762" priority="957" stopIfTrue="1" operator="equal">
      <formula>"INPUT STARTER IN COLUMN D"</formula>
    </cfRule>
  </conditionalFormatting>
  <conditionalFormatting sqref="P171">
    <cfRule type="cellIs" dxfId="7761" priority="956" stopIfTrue="1" operator="equal">
      <formula>"INPUT STARTER IN COLUMN D"</formula>
    </cfRule>
  </conditionalFormatting>
  <conditionalFormatting sqref="P172">
    <cfRule type="cellIs" dxfId="7760" priority="955" stopIfTrue="1" operator="equal">
      <formula>"INPUT STARTER IN COLUMN D"</formula>
    </cfRule>
  </conditionalFormatting>
  <conditionalFormatting sqref="P173">
    <cfRule type="cellIs" dxfId="7759" priority="954" stopIfTrue="1" operator="equal">
      <formula>"INPUT STARTER IN COLUMN D"</formula>
    </cfRule>
  </conditionalFormatting>
  <conditionalFormatting sqref="P174">
    <cfRule type="cellIs" dxfId="7758" priority="953" stopIfTrue="1" operator="equal">
      <formula>"INPUT STARTER IN COLUMN D"</formula>
    </cfRule>
  </conditionalFormatting>
  <conditionalFormatting sqref="P176">
    <cfRule type="cellIs" dxfId="7757" priority="952" stopIfTrue="1" operator="equal">
      <formula>"INPUT STARTER IN COLUMN D"</formula>
    </cfRule>
  </conditionalFormatting>
  <conditionalFormatting sqref="P177">
    <cfRule type="cellIs" dxfId="7756" priority="951" stopIfTrue="1" operator="equal">
      <formula>"INPUT STARTER IN COLUMN D"</formula>
    </cfRule>
  </conditionalFormatting>
  <conditionalFormatting sqref="P178">
    <cfRule type="cellIs" dxfId="7755" priority="950" stopIfTrue="1" operator="equal">
      <formula>"INPUT STARTER IN COLUMN D"</formula>
    </cfRule>
  </conditionalFormatting>
  <conditionalFormatting sqref="P179">
    <cfRule type="cellIs" dxfId="7754" priority="949" stopIfTrue="1" operator="equal">
      <formula>"INPUT STARTER IN COLUMN D"</formula>
    </cfRule>
  </conditionalFormatting>
  <conditionalFormatting sqref="P180">
    <cfRule type="cellIs" dxfId="7753" priority="948" stopIfTrue="1" operator="equal">
      <formula>"INPUT STARTER IN COLUMN D"</formula>
    </cfRule>
  </conditionalFormatting>
  <conditionalFormatting sqref="P181">
    <cfRule type="cellIs" dxfId="7752" priority="947" stopIfTrue="1" operator="equal">
      <formula>"INPUT STARTER IN COLUMN D"</formula>
    </cfRule>
  </conditionalFormatting>
  <conditionalFormatting sqref="P182">
    <cfRule type="cellIs" dxfId="7751" priority="946" stopIfTrue="1" operator="equal">
      <formula>"INPUT STARTER IN COLUMN D"</formula>
    </cfRule>
  </conditionalFormatting>
  <conditionalFormatting sqref="P183">
    <cfRule type="cellIs" dxfId="7750" priority="945" stopIfTrue="1" operator="equal">
      <formula>"INPUT STARTER IN COLUMN D"</formula>
    </cfRule>
  </conditionalFormatting>
  <conditionalFormatting sqref="P184">
    <cfRule type="cellIs" dxfId="7749" priority="944" stopIfTrue="1" operator="equal">
      <formula>"INPUT STARTER IN COLUMN D"</formula>
    </cfRule>
  </conditionalFormatting>
  <conditionalFormatting sqref="P185">
    <cfRule type="cellIs" dxfId="7748" priority="943" stopIfTrue="1" operator="equal">
      <formula>"INPUT STARTER IN COLUMN D"</formula>
    </cfRule>
  </conditionalFormatting>
  <conditionalFormatting sqref="AK3:AK22">
    <cfRule type="cellIs" dxfId="7747" priority="942" stopIfTrue="1" operator="equal">
      <formula>"must average at least 5 innings per start"</formula>
    </cfRule>
  </conditionalFormatting>
  <conditionalFormatting sqref="AK23">
    <cfRule type="cellIs" dxfId="7746" priority="941" stopIfTrue="1" operator="equal">
      <formula>"must have 162 starts"</formula>
    </cfRule>
  </conditionalFormatting>
  <conditionalFormatting sqref="AK3:AK22">
    <cfRule type="cellIs" dxfId="7745" priority="940" stopIfTrue="1" operator="equal">
      <formula>"must average at least 5 innings per start"</formula>
    </cfRule>
  </conditionalFormatting>
  <conditionalFormatting sqref="AK23">
    <cfRule type="cellIs" dxfId="7744" priority="939" stopIfTrue="1" operator="equal">
      <formula>"must have 162 starts"</formula>
    </cfRule>
  </conditionalFormatting>
  <conditionalFormatting sqref="AK3:AK22">
    <cfRule type="cellIs" dxfId="7743" priority="938" stopIfTrue="1" operator="equal">
      <formula>"must average at least 5 innings per start"</formula>
    </cfRule>
  </conditionalFormatting>
  <conditionalFormatting sqref="AK23">
    <cfRule type="cellIs" dxfId="7742" priority="937" stopIfTrue="1" operator="equal">
      <formula>"must have 162 starts"</formula>
    </cfRule>
  </conditionalFormatting>
  <conditionalFormatting sqref="AK3:AK22">
    <cfRule type="cellIs" dxfId="7741" priority="936" stopIfTrue="1" operator="equal">
      <formula>"must average at least 5 innings per start"</formula>
    </cfRule>
  </conditionalFormatting>
  <conditionalFormatting sqref="AK23">
    <cfRule type="cellIs" dxfId="7740" priority="935" stopIfTrue="1" operator="equal">
      <formula>"must have 162 starts"</formula>
    </cfRule>
  </conditionalFormatting>
  <conditionalFormatting sqref="AG3:AG22">
    <cfRule type="cellIs" dxfId="7739" priority="934" stopIfTrue="1" operator="equal">
      <formula>"must average at least 5 innings per start"</formula>
    </cfRule>
  </conditionalFormatting>
  <conditionalFormatting sqref="AG23">
    <cfRule type="cellIs" dxfId="7738" priority="933" stopIfTrue="1" operator="equal">
      <formula>"must have 162 starts"</formula>
    </cfRule>
  </conditionalFormatting>
  <conditionalFormatting sqref="AK3:AK22">
    <cfRule type="cellIs" dxfId="7737" priority="932" stopIfTrue="1" operator="equal">
      <formula>"must average at least 5 innings per start"</formula>
    </cfRule>
  </conditionalFormatting>
  <conditionalFormatting sqref="AK23">
    <cfRule type="cellIs" dxfId="7736" priority="931" stopIfTrue="1" operator="equal">
      <formula>"must have 162 starts"</formula>
    </cfRule>
  </conditionalFormatting>
  <conditionalFormatting sqref="AK3:AK22">
    <cfRule type="cellIs" dxfId="7735" priority="930" stopIfTrue="1" operator="equal">
      <formula>"must average at least 5 innings per start"</formula>
    </cfRule>
  </conditionalFormatting>
  <conditionalFormatting sqref="AK23">
    <cfRule type="cellIs" dxfId="7734" priority="929" stopIfTrue="1" operator="equal">
      <formula>"must have 162 starts"</formula>
    </cfRule>
  </conditionalFormatting>
  <conditionalFormatting sqref="AK3:AK22">
    <cfRule type="cellIs" dxfId="7733" priority="928" stopIfTrue="1" operator="equal">
      <formula>"must average at least 5 innings per start"</formula>
    </cfRule>
  </conditionalFormatting>
  <conditionalFormatting sqref="AK23">
    <cfRule type="cellIs" dxfId="7732" priority="927" stopIfTrue="1" operator="equal">
      <formula>"must have 162 starts"</formula>
    </cfRule>
  </conditionalFormatting>
  <conditionalFormatting sqref="AG3:AG22">
    <cfRule type="cellIs" dxfId="7731" priority="926" stopIfTrue="1" operator="equal">
      <formula>"must average at least 5 innings per start"</formula>
    </cfRule>
  </conditionalFormatting>
  <conditionalFormatting sqref="AG23">
    <cfRule type="cellIs" dxfId="7730" priority="925" stopIfTrue="1" operator="equal">
      <formula>"must have 162 starts"</formula>
    </cfRule>
  </conditionalFormatting>
  <conditionalFormatting sqref="AK3:AK22">
    <cfRule type="cellIs" dxfId="7729" priority="924" stopIfTrue="1" operator="equal">
      <formula>"must average at least 5 innings per start"</formula>
    </cfRule>
  </conditionalFormatting>
  <conditionalFormatting sqref="AK23">
    <cfRule type="cellIs" dxfId="7728" priority="923" stopIfTrue="1" operator="equal">
      <formula>"must have 162 starts"</formula>
    </cfRule>
  </conditionalFormatting>
  <conditionalFormatting sqref="AG3:AG22">
    <cfRule type="cellIs" dxfId="7727" priority="922" stopIfTrue="1" operator="equal">
      <formula>"must average at least 5 innings per start"</formula>
    </cfRule>
  </conditionalFormatting>
  <conditionalFormatting sqref="AG23">
    <cfRule type="cellIs" dxfId="7726" priority="921" stopIfTrue="1" operator="equal">
      <formula>"must have 162 starts"</formula>
    </cfRule>
  </conditionalFormatting>
  <conditionalFormatting sqref="Q2">
    <cfRule type="cellIs" dxfId="7725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1976" divId="ROTcheck_21976" sourceType="sheet" destinationFile="C:\1kading\schedule\skedbcw.html"/>
    <webPublishItem id="11231" divId="ROTcheck_11231" sourceType="range" sourceRef="A1:O193" destinationFile="C:\1kading\schedule\rostbcw.html"/>
    <webPublishItem id="8952" divId="ROTcheck_8952" sourceType="range" sourceRef="A156:O185" destinationFile="C:\1kading\schedule\skedbcw.html"/>
  </webPublishItems>
</worksheet>
</file>

<file path=xl/worksheets/sheet5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7109375" style="6" customWidth="1"/>
    <col min="2" max="2" width="3.7109375" style="6" customWidth="1"/>
    <col min="3" max="3" width="5.85546875" style="6" customWidth="1"/>
    <col min="4" max="4" width="24.85546875" style="4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19.140625" style="2" customWidth="1"/>
    <col min="20" max="20" width="10.5703125" style="2" customWidth="1"/>
    <col min="21" max="21" width="3.7109375" style="2" customWidth="1"/>
    <col min="22" max="22" width="4" style="2" customWidth="1"/>
    <col min="23" max="23" width="7.7109375" style="2" customWidth="1"/>
    <col min="24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42578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33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/>
      <c r="C3" s="33" t="s">
        <v>1917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575</v>
      </c>
      <c r="T3" s="44" t="str">
        <f>IF(ISERROR((VLOOKUP(S3,Pitchers!$B$1:H$800,4,FALSE))),"",(VLOOKUP(S3,Pitchers!$B$1:H$800,4,FALSE)))</f>
        <v>TOT</v>
      </c>
      <c r="U3" s="45" t="str">
        <f>IF(ISERROR((VLOOKUP(S3,Pitchers!B$2:AA$795,10,FALSE))),"",(VLOOKUP(S3,Pitchers!B$2:AA$795,10,FALSE)))</f>
        <v>L</v>
      </c>
      <c r="V3" s="41"/>
      <c r="W3" s="46">
        <f>IF(ISERROR((VLOOKUP(S3,Pitchers!B$2:AA$795,13,FALSE))),"",(VLOOKUP(S3,Pitchers!B$2:AA$795,13,FALSE)))</f>
        <v>16</v>
      </c>
      <c r="X3" s="47">
        <f>IF(ISERROR((VLOOKUP(S3,Pitchers!B$2:AA$795,11,FALSE))),"",(VLOOKUP(S3,Pitchers!B$2:AA$795,11,FALSE)))</f>
        <v>221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>G</v>
      </c>
      <c r="AE3" s="11">
        <f t="shared" ref="AE3:AE21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BEA</v>
      </c>
    </row>
    <row r="4" spans="1:36" ht="12.75">
      <c r="A4" s="6">
        <v>4.0199999999999996</v>
      </c>
      <c r="B4" s="33"/>
      <c r="C4" s="33" t="s">
        <v>1917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59</v>
      </c>
      <c r="T4" s="44" t="str">
        <f>IF(ISERROR((VLOOKUP(S4,Pitchers!$B$1:H$800,4,FALSE))),"",(VLOOKUP(S4,Pitchers!$B$1:H$800,4,FALSE)))</f>
        <v>STL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13</v>
      </c>
      <c r="X4" s="47">
        <f>IF(ISERROR((VLOOKUP(S4,Pitchers!B$2:AA$795,11,FALSE))),"",(VLOOKUP(S4,Pitchers!B$2:AA$795,11,FALSE)))</f>
        <v>218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>Z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BEA</v>
      </c>
    </row>
    <row r="5" spans="1:36" ht="12.75">
      <c r="A5" s="6">
        <v>4.03</v>
      </c>
      <c r="B5" s="33"/>
      <c r="C5" s="33" t="s">
        <v>1917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471</v>
      </c>
      <c r="T5" s="44" t="str">
        <f>IF(ISERROR((VLOOKUP(S5,Pitchers!$B$1:H$800,4,FALSE))),"",(VLOOKUP(S5,Pitchers!$B$1:H$800,4,FALSE)))</f>
        <v>STL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12</v>
      </c>
      <c r="X5" s="47">
        <f>IF(ISERROR((VLOOKUP(S5,Pitchers!B$2:AA$795,11,FALSE))),"",(VLOOKUP(S5,Pitchers!B$2:AA$795,11,FALSE)))</f>
        <v>176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>G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BEA</v>
      </c>
    </row>
    <row r="6" spans="1:36" ht="12.75">
      <c r="A6" s="6">
        <v>4.04</v>
      </c>
      <c r="B6" s="33"/>
      <c r="C6" s="33" t="s">
        <v>1917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489</v>
      </c>
      <c r="T6" s="44" t="str">
        <f>IF(ISERROR((VLOOKUP(S6,Pitchers!$B$1:H$800,4,FALSE))),"",(VLOOKUP(S6,Pitchers!$B$1:H$800,4,FALSE)))</f>
        <v>HOU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10</v>
      </c>
      <c r="X6" s="47">
        <f>IF(ISERROR((VLOOKUP(S6,Pitchers!B$2:AA$795,11,FALSE))),"",(VLOOKUP(S6,Pitchers!B$2:AA$795,11,FALSE)))</f>
        <v>204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BEA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507</v>
      </c>
      <c r="T7" s="44" t="str">
        <f>IF(ISERROR((VLOOKUP(S7,Pitchers!$B$1:H$800,4,FALSE))),"",(VLOOKUP(S7,Pitchers!$B$1:H$800,4,FALSE)))</f>
        <v>SDP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10</v>
      </c>
      <c r="X7" s="47">
        <f>IF(ISERROR((VLOOKUP(S7,Pitchers!B$2:AA$795,11,FALSE))),"",(VLOOKUP(S7,Pitchers!B$2:AA$795,11,FALSE)))</f>
        <v>33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>Z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 t="s">
        <v>32</v>
      </c>
      <c r="C8" s="33" t="s">
        <v>51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183</v>
      </c>
      <c r="T8" s="44" t="str">
        <f>IF(ISERROR((VLOOKUP(S8,Pitchers!$B$1:H$800,4,FALSE))),"",(VLOOKUP(S8,Pitchers!$B$1:H$800,4,FALSE)))</f>
        <v>TOR</v>
      </c>
      <c r="U8" s="45" t="str">
        <f>IF(ISERROR((VLOOKUP(S8,Pitchers!B$2:AA$795,10,FALSE))),"",(VLOOKUP(S8,Pitchers!B$2:AA$795,10,FALSE)))</f>
        <v>L</v>
      </c>
      <c r="V8" s="41"/>
      <c r="W8" s="46">
        <f>IF(ISERROR((VLOOKUP(S8,Pitchers!B$2:AA$795,13,FALSE))),"",(VLOOKUP(S8,Pitchers!B$2:AA$795,13,FALSE)))</f>
        <v>9</v>
      </c>
      <c r="X8" s="47">
        <f>IF(ISERROR((VLOOKUP(S8,Pitchers!B$2:AA$795,11,FALSE))),"",(VLOOKUP(S8,Pitchers!B$2:AA$795,11,FALSE)))</f>
        <v>199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Z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BEA</v>
      </c>
    </row>
    <row r="9" spans="1:36" ht="12.75">
      <c r="A9" s="6">
        <v>4.07</v>
      </c>
      <c r="B9" s="33" t="s">
        <v>32</v>
      </c>
      <c r="C9" s="33" t="s">
        <v>51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259</v>
      </c>
      <c r="T9" s="44" t="str">
        <f>IF(ISERROR((VLOOKUP(S9,Pitchers!$B$1:H$800,4,FALSE))),"",(VLOOKUP(S9,Pitchers!$B$1:H$800,4,FALSE)))</f>
        <v>ARI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6</v>
      </c>
      <c r="X9" s="47">
        <f>IF(ISERROR((VLOOKUP(S9,Pitchers!B$2:AA$795,11,FALSE))),"",(VLOOKUP(S9,Pitchers!B$2:AA$795,11,FALSE)))</f>
        <v>5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X</v>
      </c>
      <c r="AC9" s="52" t="str">
        <f>IF(ISERROR((VLOOKUP(S9,Pitchers!B$2:AA$795,17,FALSE))),"",(VLOOKUP(S9,Pitchers!B$2:AA$795,17,FALSE)))</f>
        <v>W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BEA</v>
      </c>
    </row>
    <row r="10" spans="1:36" ht="12.75">
      <c r="A10" s="6">
        <v>4.08</v>
      </c>
      <c r="B10" s="33" t="s">
        <v>32</v>
      </c>
      <c r="C10" s="33" t="s">
        <v>51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1760</v>
      </c>
      <c r="T10" s="44" t="str">
        <f>IF(ISERROR((VLOOKUP(S10,Pitchers!$B$1:H$800,4,FALSE))),"",(VLOOKUP(S10,Pitchers!$B$1:H$800,4,FALSE)))</f>
        <v>CIN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5</v>
      </c>
      <c r="X10" s="47">
        <f>IF(ISERROR((VLOOKUP(S10,Pitchers!B$2:AA$795,11,FALSE))),"",(VLOOKUP(S10,Pitchers!B$2:AA$795,11,FALSE)))</f>
        <v>12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>W</v>
      </c>
      <c r="AD10" s="53" t="str">
        <f>IF(ISERROR((VLOOKUP(S10,Pitchers!B$2:AA$795,18,FALSE))),"",(VLOOKUP(S10,Pitchers!B$2:AA$795,18,FALSE)))</f>
        <v>L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BEA</v>
      </c>
    </row>
    <row r="11" spans="1:36" ht="12.75">
      <c r="A11" s="6">
        <v>4.09</v>
      </c>
      <c r="B11" s="33" t="s">
        <v>32</v>
      </c>
      <c r="C11" s="33" t="s">
        <v>51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83" t="s">
        <v>901</v>
      </c>
      <c r="T11" s="44" t="str">
        <f>IF(ISERROR((VLOOKUP(S11,Pitchers!$B$1:H$800,4,FALSE))),"",(VLOOKUP(S11,Pitchers!$B$1:H$800,4,FALSE)))</f>
        <v>TOT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4</v>
      </c>
      <c r="X11" s="47">
        <f>IF(ISERROR((VLOOKUP(S11,Pitchers!B$2:AA$795,11,FALSE))),"",(VLOOKUP(S11,Pitchers!B$2:AA$795,11,FALSE)))</f>
        <v>5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>Y</v>
      </c>
      <c r="AC11" s="52" t="str">
        <f>IF(ISERROR((VLOOKUP(S11,Pitchers!B$2:AA$795,17,FALSE))),"",(VLOOKUP(S11,Pitchers!B$2:AA$795,17,FALSE)))</f>
        <v>W</v>
      </c>
      <c r="AD11" s="53" t="str">
        <f>IF(ISERROR((VLOOKUP(S11,Pitchers!B$2:AA$795,18,FALSE))),"",(VLOOKUP(S11,Pitchers!B$2:AA$795,18,FALSE)))</f>
        <v xml:space="preserve"> 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BEA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68"/>
      <c r="T12" s="44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42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4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BEA</v>
      </c>
    </row>
    <row r="14" spans="1:36" ht="12.75">
      <c r="A14" s="6">
        <v>4.12</v>
      </c>
      <c r="B14" s="33"/>
      <c r="C14" s="33" t="s">
        <v>42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4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BEA</v>
      </c>
    </row>
    <row r="15" spans="1:36" ht="12.75">
      <c r="A15" s="6">
        <v>4.13</v>
      </c>
      <c r="B15" s="33"/>
      <c r="C15" s="33" t="s">
        <v>42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4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BEA</v>
      </c>
    </row>
    <row r="16" spans="1:36" ht="12.75">
      <c r="A16" s="6">
        <v>4.1399999999999997</v>
      </c>
      <c r="B16" s="33"/>
      <c r="C16" s="33" t="s">
        <v>42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4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BEA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4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33" t="s">
        <v>46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4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BEA</v>
      </c>
    </row>
    <row r="19" spans="1:36" ht="12.75">
      <c r="A19" s="6">
        <v>4.17</v>
      </c>
      <c r="B19" s="33" t="s">
        <v>32</v>
      </c>
      <c r="C19" s="33" t="s">
        <v>46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4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BEA</v>
      </c>
    </row>
    <row r="20" spans="1:36" ht="12.75">
      <c r="A20" s="6">
        <v>4.18</v>
      </c>
      <c r="B20" s="33" t="s">
        <v>32</v>
      </c>
      <c r="C20" s="33" t="s">
        <v>46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4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BEA</v>
      </c>
    </row>
    <row r="21" spans="1:36" ht="12.75">
      <c r="A21" s="6">
        <v>4.1900000000000004</v>
      </c>
      <c r="B21" s="33" t="s">
        <v>32</v>
      </c>
      <c r="C21" s="33" t="s">
        <v>46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4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BEA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ref="AE22" si="11">COUNTIF(D:D,S22)</f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 t="s">
        <v>32</v>
      </c>
      <c r="C23" s="33" t="s">
        <v>49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BEA</v>
      </c>
    </row>
    <row r="24" spans="1:36" ht="12.75">
      <c r="A24" s="6">
        <v>4.22</v>
      </c>
      <c r="B24" s="33" t="s">
        <v>32</v>
      </c>
      <c r="C24" s="33" t="s">
        <v>49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BEA</v>
      </c>
    </row>
    <row r="25" spans="1:36" ht="12.75">
      <c r="A25" s="6">
        <v>4.2300000000000004</v>
      </c>
      <c r="B25" s="33" t="s">
        <v>32</v>
      </c>
      <c r="C25" s="33" t="s">
        <v>49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BEA</v>
      </c>
    </row>
    <row r="26" spans="1:36" ht="12.75">
      <c r="A26" s="6">
        <v>4.24</v>
      </c>
      <c r="B26" s="33" t="s">
        <v>32</v>
      </c>
      <c r="C26" s="33" t="s">
        <v>49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BEA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33" t="s">
        <v>41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BEA</v>
      </c>
    </row>
    <row r="29" spans="1:36" ht="12.75">
      <c r="A29" s="6">
        <v>4.2699999999999996</v>
      </c>
      <c r="B29" s="33" t="s">
        <v>32</v>
      </c>
      <c r="C29" s="33" t="s">
        <v>41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BEA</v>
      </c>
    </row>
    <row r="30" spans="1:36" ht="12.75">
      <c r="A30" s="6">
        <v>4.28</v>
      </c>
      <c r="B30" s="33" t="s">
        <v>32</v>
      </c>
      <c r="C30" s="33" t="s">
        <v>41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BEA</v>
      </c>
    </row>
    <row r="31" spans="1:36" ht="12.75">
      <c r="A31" s="6">
        <v>4.29</v>
      </c>
      <c r="B31" s="33" t="s">
        <v>32</v>
      </c>
      <c r="C31" s="33" t="s">
        <v>41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BEA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4"/>
      <c r="C33" s="33" t="s">
        <v>48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2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3">IF(P33="not enough rest","input a DIFFERENT starter in column C","")</f>
        <v/>
      </c>
      <c r="R33" s="10">
        <v>1</v>
      </c>
      <c r="AJ33" s="33" t="str">
        <f t="shared" ca="1" si="3"/>
        <v>BEA</v>
      </c>
    </row>
    <row r="34" spans="1:36" ht="12.75">
      <c r="A34" s="6">
        <v>5.0199999999999996</v>
      </c>
      <c r="B34" s="34"/>
      <c r="C34" s="33" t="s">
        <v>48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2"/>
        <v>input starter in column D</v>
      </c>
      <c r="Q34" s="5" t="str">
        <f t="shared" si="13"/>
        <v/>
      </c>
      <c r="R34" s="10">
        <v>2</v>
      </c>
      <c r="AJ34" s="33" t="str">
        <f t="shared" ca="1" si="3"/>
        <v>BEA</v>
      </c>
    </row>
    <row r="35" spans="1:36" ht="12.75">
      <c r="A35" s="6">
        <v>5.03</v>
      </c>
      <c r="B35" s="34"/>
      <c r="C35" s="33" t="s">
        <v>48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2"/>
        <v>input starter in column D</v>
      </c>
      <c r="Q35" s="5" t="str">
        <f t="shared" si="13"/>
        <v/>
      </c>
      <c r="R35" s="10">
        <v>3</v>
      </c>
      <c r="AJ35" s="33" t="str">
        <f t="shared" ca="1" si="3"/>
        <v>BEA</v>
      </c>
    </row>
    <row r="36" spans="1:36" ht="12.75">
      <c r="A36" s="6">
        <v>5.04</v>
      </c>
      <c r="B36" s="33"/>
      <c r="C36" s="33" t="s">
        <v>48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2"/>
        <v>input starter in column D</v>
      </c>
      <c r="Q36" s="5" t="str">
        <f t="shared" si="13"/>
        <v/>
      </c>
      <c r="R36" s="10">
        <v>4</v>
      </c>
      <c r="AJ36" s="33" t="str">
        <f t="shared" ca="1" si="3"/>
        <v>BEA</v>
      </c>
    </row>
    <row r="37" spans="1:36" ht="12.75">
      <c r="A37" s="6">
        <v>5.05</v>
      </c>
      <c r="B37" s="33"/>
      <c r="C37" s="33" t="s">
        <v>53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2"/>
        <v>input starter in column D</v>
      </c>
      <c r="Q37" s="5" t="str">
        <f t="shared" si="13"/>
        <v/>
      </c>
      <c r="R37" s="10">
        <v>5</v>
      </c>
      <c r="AJ37" s="33" t="str">
        <f t="shared" ca="1" si="3"/>
        <v>BEA</v>
      </c>
    </row>
    <row r="38" spans="1:36" ht="12.75">
      <c r="A38" s="6">
        <v>5.0599999999999996</v>
      </c>
      <c r="B38" s="33"/>
      <c r="C38" s="33" t="s">
        <v>53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2"/>
        <v>input starter in column D</v>
      </c>
      <c r="Q38" s="5" t="str">
        <f t="shared" si="13"/>
        <v/>
      </c>
      <c r="R38" s="10">
        <v>1</v>
      </c>
      <c r="AJ38" s="33" t="str">
        <f t="shared" ca="1" si="3"/>
        <v>BEA</v>
      </c>
    </row>
    <row r="39" spans="1:36" ht="12.75">
      <c r="A39" s="6">
        <v>5.07</v>
      </c>
      <c r="B39" s="33"/>
      <c r="C39" s="33" t="s">
        <v>53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2"/>
        <v>input starter in column D</v>
      </c>
      <c r="Q39" s="5" t="str">
        <f t="shared" si="13"/>
        <v/>
      </c>
      <c r="R39" s="10">
        <v>2</v>
      </c>
      <c r="AJ39" s="33" t="str">
        <f t="shared" ca="1" si="3"/>
        <v>BEA</v>
      </c>
    </row>
    <row r="40" spans="1:36" ht="12.75">
      <c r="A40" s="6">
        <v>5.08</v>
      </c>
      <c r="B40" s="33"/>
      <c r="C40" s="33" t="s">
        <v>53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2"/>
        <v>input starter in column D</v>
      </c>
      <c r="Q40" s="5" t="str">
        <f t="shared" si="13"/>
        <v/>
      </c>
      <c r="R40" s="10">
        <v>3</v>
      </c>
      <c r="AJ40" s="33" t="str">
        <f t="shared" ca="1" si="3"/>
        <v>BEA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17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4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3"/>
        <v/>
      </c>
      <c r="R42" s="10">
        <v>4</v>
      </c>
      <c r="AJ42" s="33" t="str">
        <f t="shared" ca="1" si="3"/>
        <v>BEA</v>
      </c>
    </row>
    <row r="43" spans="1:36" ht="12.75">
      <c r="A43" s="6">
        <v>5.1100000000000003</v>
      </c>
      <c r="B43" s="33"/>
      <c r="C43" s="33" t="s">
        <v>17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4"/>
        <v>input starter in column D</v>
      </c>
      <c r="Q43" s="5" t="str">
        <f t="shared" si="13"/>
        <v/>
      </c>
      <c r="R43" s="10">
        <v>1</v>
      </c>
      <c r="AJ43" s="33" t="str">
        <f t="shared" ca="1" si="3"/>
        <v>BEA</v>
      </c>
    </row>
    <row r="44" spans="1:36" ht="12.75">
      <c r="A44" s="6">
        <v>5.12</v>
      </c>
      <c r="B44" s="33"/>
      <c r="C44" s="33" t="s">
        <v>17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4"/>
        <v>input starter in column D</v>
      </c>
      <c r="Q44" s="5" t="str">
        <f t="shared" si="13"/>
        <v/>
      </c>
      <c r="R44" s="10">
        <v>2</v>
      </c>
      <c r="AJ44" s="33" t="str">
        <f t="shared" ca="1" si="3"/>
        <v>BEA</v>
      </c>
    </row>
    <row r="45" spans="1:36" ht="12.75">
      <c r="A45" s="6">
        <v>5.13</v>
      </c>
      <c r="B45" s="33"/>
      <c r="C45" s="33" t="s">
        <v>17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4"/>
        <v>input starter in column D</v>
      </c>
      <c r="Q45" s="5" t="str">
        <f t="shared" si="13"/>
        <v/>
      </c>
      <c r="R45" s="10">
        <v>3</v>
      </c>
      <c r="AJ45" s="33" t="str">
        <f t="shared" ca="1" si="3"/>
        <v>BEA</v>
      </c>
    </row>
    <row r="46" spans="1:36" ht="12.75">
      <c r="A46" s="6">
        <v>5.14</v>
      </c>
      <c r="B46" s="33" t="s">
        <v>32</v>
      </c>
      <c r="C46" s="33" t="s">
        <v>16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4"/>
        <v>input starter in column D</v>
      </c>
      <c r="Q46" s="5" t="str">
        <f t="shared" si="13"/>
        <v/>
      </c>
      <c r="R46" s="10">
        <v>5</v>
      </c>
      <c r="AJ46" s="33" t="str">
        <f t="shared" ca="1" si="3"/>
        <v>BEA</v>
      </c>
    </row>
    <row r="47" spans="1:36" ht="12.75">
      <c r="A47" s="6">
        <v>5.15</v>
      </c>
      <c r="B47" s="33" t="s">
        <v>32</v>
      </c>
      <c r="C47" s="33" t="s">
        <v>16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4"/>
        <v>input starter in column D</v>
      </c>
      <c r="Q47" s="5" t="str">
        <f t="shared" si="13"/>
        <v/>
      </c>
      <c r="R47" s="10">
        <v>4</v>
      </c>
      <c r="AJ47" s="33" t="str">
        <f t="shared" ca="1" si="3"/>
        <v>BEA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16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5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3"/>
        <v/>
      </c>
      <c r="R49" s="10">
        <v>1</v>
      </c>
      <c r="AJ49" s="33" t="str">
        <f t="shared" ca="1" si="3"/>
        <v>BEA</v>
      </c>
    </row>
    <row r="50" spans="1:36" ht="12.75">
      <c r="A50" s="6">
        <v>5.18</v>
      </c>
      <c r="B50" s="33" t="s">
        <v>32</v>
      </c>
      <c r="C50" s="33" t="s">
        <v>16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5"/>
        <v>input starter in column D</v>
      </c>
      <c r="Q50" s="5" t="str">
        <f t="shared" si="13"/>
        <v/>
      </c>
      <c r="R50" s="10">
        <v>2</v>
      </c>
      <c r="AJ50" s="33" t="str">
        <f t="shared" ca="1" si="3"/>
        <v>BEA</v>
      </c>
    </row>
    <row r="51" spans="1:36" ht="12.75">
      <c r="A51" s="6">
        <v>5.19</v>
      </c>
      <c r="B51" s="33" t="s">
        <v>32</v>
      </c>
      <c r="C51" s="33" t="s">
        <v>47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5"/>
        <v>input starter in column D</v>
      </c>
      <c r="Q51" s="5" t="str">
        <f t="shared" si="13"/>
        <v/>
      </c>
      <c r="R51" s="10">
        <v>3</v>
      </c>
      <c r="AJ51" s="33" t="str">
        <f t="shared" ca="1" si="3"/>
        <v>BEA</v>
      </c>
    </row>
    <row r="52" spans="1:36" ht="12.75">
      <c r="A52" s="6">
        <v>5.2</v>
      </c>
      <c r="B52" s="33" t="s">
        <v>32</v>
      </c>
      <c r="C52" s="33" t="s">
        <v>47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5"/>
        <v>input starter in column D</v>
      </c>
      <c r="Q52" s="5" t="str">
        <f t="shared" si="13"/>
        <v/>
      </c>
      <c r="R52" s="10">
        <v>4</v>
      </c>
      <c r="AJ52" s="33" t="str">
        <f t="shared" ca="1" si="3"/>
        <v>BEA</v>
      </c>
    </row>
    <row r="53" spans="1:36" ht="12.75">
      <c r="A53" s="6">
        <v>5.21</v>
      </c>
      <c r="B53" s="33" t="s">
        <v>32</v>
      </c>
      <c r="C53" s="33" t="s">
        <v>47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5"/>
        <v>input starter in column D</v>
      </c>
      <c r="Q53" s="5" t="str">
        <f t="shared" si="13"/>
        <v/>
      </c>
      <c r="R53" s="10">
        <v>5</v>
      </c>
      <c r="AJ53" s="33" t="str">
        <f t="shared" ca="1" si="3"/>
        <v>BEA</v>
      </c>
    </row>
    <row r="54" spans="1:36" ht="12.75">
      <c r="A54" s="6">
        <v>5.22</v>
      </c>
      <c r="B54" s="33" t="s">
        <v>32</v>
      </c>
      <c r="C54" s="33" t="s">
        <v>47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5"/>
        <v>input starter in column D</v>
      </c>
      <c r="Q54" s="5" t="str">
        <f t="shared" si="13"/>
        <v/>
      </c>
      <c r="R54" s="10">
        <v>1</v>
      </c>
      <c r="AJ54" s="33" t="str">
        <f t="shared" ca="1" si="3"/>
        <v>BEA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/>
      <c r="C56" s="33" t="s">
        <v>1919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6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3"/>
        <v/>
      </c>
      <c r="R56" s="10">
        <v>2</v>
      </c>
      <c r="AJ56" s="33" t="str">
        <f t="shared" ca="1" si="3"/>
        <v>BEA</v>
      </c>
    </row>
    <row r="57" spans="1:36" ht="12.75">
      <c r="A57" s="6">
        <v>5.25</v>
      </c>
      <c r="B57" s="33"/>
      <c r="C57" s="33" t="s">
        <v>1919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6"/>
        <v>input starter in column D</v>
      </c>
      <c r="Q57" s="5" t="str">
        <f t="shared" si="13"/>
        <v/>
      </c>
      <c r="R57" s="10">
        <v>3</v>
      </c>
      <c r="AJ57" s="33" t="str">
        <f t="shared" ca="1" si="3"/>
        <v>BEA</v>
      </c>
    </row>
    <row r="58" spans="1:36" ht="12.75">
      <c r="A58" s="6">
        <v>5.26</v>
      </c>
      <c r="B58" s="33"/>
      <c r="C58" s="33" t="s">
        <v>1919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6"/>
        <v>input starter in column D</v>
      </c>
      <c r="Q58" s="5" t="str">
        <f t="shared" si="13"/>
        <v/>
      </c>
      <c r="R58" s="10">
        <v>4</v>
      </c>
      <c r="AJ58" s="33" t="str">
        <f t="shared" ca="1" si="3"/>
        <v>BEA</v>
      </c>
    </row>
    <row r="59" spans="1:36" ht="12.75">
      <c r="A59" s="6">
        <v>5.27</v>
      </c>
      <c r="B59" s="33"/>
      <c r="C59" s="33" t="s">
        <v>1919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6"/>
        <v>input starter in column D</v>
      </c>
      <c r="Q59" s="5" t="str">
        <f t="shared" si="13"/>
        <v/>
      </c>
      <c r="R59" s="10">
        <v>1</v>
      </c>
      <c r="AJ59" s="33" t="str">
        <f t="shared" ca="1" si="3"/>
        <v>BEA</v>
      </c>
    </row>
    <row r="60" spans="1:36" ht="12.75">
      <c r="A60" s="6">
        <v>5.28</v>
      </c>
      <c r="B60" s="33"/>
      <c r="C60" s="33" t="s">
        <v>43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6"/>
        <v>input starter in column D</v>
      </c>
      <c r="Q60" s="5" t="str">
        <f t="shared" si="13"/>
        <v/>
      </c>
      <c r="R60" s="10">
        <v>5</v>
      </c>
      <c r="AJ60" s="33" t="str">
        <f t="shared" ca="1" si="3"/>
        <v>BEA</v>
      </c>
    </row>
    <row r="61" spans="1:36" ht="12.75">
      <c r="A61" s="6">
        <v>5.29</v>
      </c>
      <c r="B61" s="33"/>
      <c r="C61" s="33" t="s">
        <v>43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6"/>
        <v>input starter in column D</v>
      </c>
      <c r="Q61" s="5" t="str">
        <f t="shared" si="13"/>
        <v/>
      </c>
      <c r="R61" s="10">
        <v>2</v>
      </c>
      <c r="AJ61" s="33" t="str">
        <f t="shared" ca="1" si="3"/>
        <v>BEA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/>
      <c r="C63" s="33" t="s">
        <v>43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7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3"/>
        <v/>
      </c>
      <c r="R63" s="10">
        <v>3</v>
      </c>
      <c r="AJ63" s="33" t="str">
        <f t="shared" ca="1" si="3"/>
        <v>BEA</v>
      </c>
    </row>
    <row r="64" spans="1:36" ht="12.75">
      <c r="A64" s="6">
        <v>6.01</v>
      </c>
      <c r="B64" s="33"/>
      <c r="C64" s="33" t="s">
        <v>14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7"/>
        <v>input starter in column D</v>
      </c>
      <c r="Q64" s="5" t="str">
        <f t="shared" si="13"/>
        <v/>
      </c>
      <c r="R64" s="10">
        <v>1</v>
      </c>
      <c r="AJ64" s="33" t="str">
        <f t="shared" ca="1" si="3"/>
        <v>BEA</v>
      </c>
    </row>
    <row r="65" spans="1:36" ht="12.75">
      <c r="A65" s="6">
        <v>6.02</v>
      </c>
      <c r="B65" s="33"/>
      <c r="C65" s="33" t="s">
        <v>14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7"/>
        <v>input starter in column D</v>
      </c>
      <c r="Q65" s="5" t="str">
        <f t="shared" si="13"/>
        <v/>
      </c>
      <c r="R65" s="10">
        <v>4</v>
      </c>
      <c r="AJ65" s="33" t="str">
        <f t="shared" ca="1" si="3"/>
        <v>BEA</v>
      </c>
    </row>
    <row r="66" spans="1:36" ht="12.75">
      <c r="A66" s="6">
        <v>6.03</v>
      </c>
      <c r="B66" s="33"/>
      <c r="C66" s="33" t="s">
        <v>14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7"/>
        <v>input starter in column D</v>
      </c>
      <c r="Q66" s="5" t="str">
        <f t="shared" si="13"/>
        <v/>
      </c>
      <c r="R66" s="10">
        <v>2</v>
      </c>
      <c r="AJ66" s="33" t="str">
        <f t="shared" ca="1" si="3"/>
        <v>BEA</v>
      </c>
    </row>
    <row r="67" spans="1:36" ht="12.75">
      <c r="A67" s="6">
        <v>6.04</v>
      </c>
      <c r="B67" s="33"/>
      <c r="C67" s="33" t="s">
        <v>14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7"/>
        <v>input starter in column D</v>
      </c>
      <c r="Q67" s="5" t="str">
        <f t="shared" si="13"/>
        <v/>
      </c>
      <c r="R67" s="10">
        <v>5</v>
      </c>
      <c r="AJ67" s="33" t="str">
        <f t="shared" ref="AJ67:AJ130" ca="1" si="18">IF(ISERROR((INDIRECT(""&amp;$C67&amp;"!c"&amp;ROW(C67)))),"",(INDIRECT(""&amp;$C67&amp;"!c"&amp;ROW(C67))))</f>
        <v>BEA</v>
      </c>
    </row>
    <row r="68" spans="1:36" ht="12.75">
      <c r="A68" s="6">
        <v>6.05</v>
      </c>
      <c r="B68" s="32" t="s">
        <v>32</v>
      </c>
      <c r="C68" s="33" t="s">
        <v>56</v>
      </c>
      <c r="D68" s="74"/>
      <c r="E68" s="75" t="str">
        <f t="shared" ref="E68:E131" si="19">IF(ISERROR((VLOOKUP($D68,$S$3:$AE$22,3,FALSE))),"",(VLOOKUP($D68,$S$3:$AE$22,3,FALSE)))</f>
        <v/>
      </c>
      <c r="F68" s="75" t="str">
        <f t="shared" ref="F68:F131" si="20">IF(ISERROR((VLOOKUP($D68,$S$3:$AE$22,5,FALSE))),"",(VLOOKUP($D68,$S$3:$AE$22,5,FALSE)))</f>
        <v/>
      </c>
      <c r="G68" s="75" t="str">
        <f t="shared" ref="G68:G131" si="21">IF(ISERROR((VLOOKUP($D68,$S$3:$AE$22,10,FALSE))),"",(VLOOKUP($D68,$S$3:$AE$22,10,FALSE)))</f>
        <v/>
      </c>
      <c r="H68" s="75" t="str">
        <f t="shared" ref="H68:H131" si="22">IF(ISERROR((VLOOKUP($D68,$S$3:$AE$22,11,FALSE))),"",(VLOOKUP($D68,$S$3:$AE$22,11,FALSE)))</f>
        <v/>
      </c>
      <c r="I68" s="75" t="str">
        <f t="shared" ref="I68:I131" si="23">IF(ISERROR((VLOOKUP($D68,$S$3:$AE$22,12,FALSE))),"",(VLOOKUP($D68,$S$3:$AE$22,12,FALSE)))</f>
        <v/>
      </c>
      <c r="J68" s="74" t="str">
        <f t="shared" ref="J68:J131" ca="1" si="24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7"/>
        <v>input starter in column D</v>
      </c>
      <c r="Q68" s="5" t="str">
        <f t="shared" si="13"/>
        <v/>
      </c>
      <c r="R68" s="10">
        <v>3</v>
      </c>
      <c r="AJ68" s="33" t="str">
        <f t="shared" ca="1" si="18"/>
        <v>BEA</v>
      </c>
    </row>
    <row r="69" spans="1:36" ht="12.75">
      <c r="A69" s="6">
        <v>6.06</v>
      </c>
      <c r="B69" s="32" t="s">
        <v>32</v>
      </c>
      <c r="C69" s="33" t="s">
        <v>56</v>
      </c>
      <c r="D69" s="74"/>
      <c r="E69" s="75" t="str">
        <f t="shared" si="19"/>
        <v/>
      </c>
      <c r="F69" s="75" t="str">
        <f t="shared" si="20"/>
        <v/>
      </c>
      <c r="G69" s="75" t="str">
        <f t="shared" si="21"/>
        <v/>
      </c>
      <c r="H69" s="75" t="str">
        <f t="shared" si="22"/>
        <v/>
      </c>
      <c r="I69" s="75" t="str">
        <f t="shared" si="23"/>
        <v/>
      </c>
      <c r="J69" s="74" t="str">
        <f t="shared" ca="1" si="24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7"/>
        <v>input starter in column D</v>
      </c>
      <c r="Q69" s="5" t="str">
        <f t="shared" si="13"/>
        <v/>
      </c>
      <c r="R69" s="10">
        <v>1</v>
      </c>
      <c r="AJ69" s="33" t="str">
        <f t="shared" ca="1" si="18"/>
        <v>BEA</v>
      </c>
    </row>
    <row r="70" spans="1:36" ht="12.75">
      <c r="A70" s="6">
        <v>6.07</v>
      </c>
      <c r="B70" s="32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8"/>
        <v/>
      </c>
    </row>
    <row r="71" spans="1:36" ht="12.75">
      <c r="A71" s="6">
        <v>6.08</v>
      </c>
      <c r="B71" s="32" t="s">
        <v>32</v>
      </c>
      <c r="C71" s="33" t="s">
        <v>56</v>
      </c>
      <c r="D71" s="74"/>
      <c r="E71" s="75" t="str">
        <f t="shared" si="19"/>
        <v/>
      </c>
      <c r="F71" s="75" t="str">
        <f t="shared" si="20"/>
        <v/>
      </c>
      <c r="G71" s="75" t="str">
        <f t="shared" si="21"/>
        <v/>
      </c>
      <c r="H71" s="75" t="str">
        <f t="shared" si="22"/>
        <v/>
      </c>
      <c r="I71" s="75" t="str">
        <f t="shared" si="23"/>
        <v/>
      </c>
      <c r="J71" s="74" t="str">
        <f t="shared" ca="1" si="24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5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3"/>
        <v/>
      </c>
      <c r="R71" s="10">
        <v>2</v>
      </c>
      <c r="AJ71" s="33" t="str">
        <f t="shared" ca="1" si="18"/>
        <v>BEA</v>
      </c>
    </row>
    <row r="72" spans="1:36" ht="12.75">
      <c r="A72" s="6">
        <v>6.09</v>
      </c>
      <c r="B72" s="32" t="s">
        <v>32</v>
      </c>
      <c r="C72" s="33" t="s">
        <v>56</v>
      </c>
      <c r="D72" s="74"/>
      <c r="E72" s="75" t="str">
        <f t="shared" si="19"/>
        <v/>
      </c>
      <c r="F72" s="75" t="str">
        <f t="shared" si="20"/>
        <v/>
      </c>
      <c r="G72" s="75" t="str">
        <f t="shared" si="21"/>
        <v/>
      </c>
      <c r="H72" s="75" t="str">
        <f t="shared" si="22"/>
        <v/>
      </c>
      <c r="I72" s="75" t="str">
        <f t="shared" si="23"/>
        <v/>
      </c>
      <c r="J72" s="74" t="str">
        <f t="shared" ca="1" si="24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5"/>
        <v>input starter in column D</v>
      </c>
      <c r="Q72" s="5" t="str">
        <f t="shared" si="13"/>
        <v/>
      </c>
      <c r="R72" s="10">
        <v>4</v>
      </c>
      <c r="AJ72" s="33" t="str">
        <f t="shared" ca="1" si="18"/>
        <v>BEA</v>
      </c>
    </row>
    <row r="73" spans="1:36" ht="12.75">
      <c r="A73" s="6">
        <v>6.1</v>
      </c>
      <c r="B73" s="32" t="s">
        <v>32</v>
      </c>
      <c r="C73" s="33" t="s">
        <v>12</v>
      </c>
      <c r="D73" s="74"/>
      <c r="E73" s="75" t="str">
        <f t="shared" si="19"/>
        <v/>
      </c>
      <c r="F73" s="75" t="str">
        <f t="shared" si="20"/>
        <v/>
      </c>
      <c r="G73" s="75" t="str">
        <f t="shared" si="21"/>
        <v/>
      </c>
      <c r="H73" s="75" t="str">
        <f t="shared" si="22"/>
        <v/>
      </c>
      <c r="I73" s="75" t="str">
        <f t="shared" si="23"/>
        <v/>
      </c>
      <c r="J73" s="74" t="str">
        <f t="shared" ca="1" si="24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5"/>
        <v>input starter in column D</v>
      </c>
      <c r="Q73" s="5" t="str">
        <f t="shared" si="13"/>
        <v/>
      </c>
      <c r="R73" s="10">
        <v>3</v>
      </c>
      <c r="AJ73" s="33" t="str">
        <f t="shared" ca="1" si="18"/>
        <v>BEA</v>
      </c>
    </row>
    <row r="74" spans="1:36" ht="12.75">
      <c r="A74" s="6">
        <v>6.11</v>
      </c>
      <c r="B74" s="32" t="s">
        <v>32</v>
      </c>
      <c r="C74" s="33" t="s">
        <v>12</v>
      </c>
      <c r="D74" s="74"/>
      <c r="E74" s="75" t="str">
        <f t="shared" si="19"/>
        <v/>
      </c>
      <c r="F74" s="75" t="str">
        <f t="shared" si="20"/>
        <v/>
      </c>
      <c r="G74" s="75" t="str">
        <f t="shared" si="21"/>
        <v/>
      </c>
      <c r="H74" s="75" t="str">
        <f t="shared" si="22"/>
        <v/>
      </c>
      <c r="I74" s="75" t="str">
        <f t="shared" si="23"/>
        <v/>
      </c>
      <c r="J74" s="74" t="str">
        <f t="shared" ca="1" si="24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5"/>
        <v>input starter in column D</v>
      </c>
      <c r="Q74" s="5" t="str">
        <f t="shared" si="13"/>
        <v/>
      </c>
      <c r="R74" s="10">
        <v>1</v>
      </c>
      <c r="AJ74" s="33" t="str">
        <f t="shared" ca="1" si="18"/>
        <v>BEA</v>
      </c>
    </row>
    <row r="75" spans="1:36" ht="12.75">
      <c r="A75" s="6">
        <v>6.12</v>
      </c>
      <c r="B75" s="32" t="s">
        <v>32</v>
      </c>
      <c r="C75" s="33" t="s">
        <v>12</v>
      </c>
      <c r="D75" s="74"/>
      <c r="E75" s="75" t="str">
        <f t="shared" si="19"/>
        <v/>
      </c>
      <c r="F75" s="75" t="str">
        <f t="shared" si="20"/>
        <v/>
      </c>
      <c r="G75" s="75" t="str">
        <f t="shared" si="21"/>
        <v/>
      </c>
      <c r="H75" s="75" t="str">
        <f t="shared" si="22"/>
        <v/>
      </c>
      <c r="I75" s="75" t="str">
        <f t="shared" si="23"/>
        <v/>
      </c>
      <c r="J75" s="74" t="str">
        <f t="shared" ca="1" si="24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5"/>
        <v>input starter in column D</v>
      </c>
      <c r="Q75" s="5" t="str">
        <f t="shared" si="13"/>
        <v/>
      </c>
      <c r="R75" s="10">
        <v>5</v>
      </c>
      <c r="AJ75" s="33" t="str">
        <f t="shared" ca="1" si="18"/>
        <v>BEA</v>
      </c>
    </row>
    <row r="76" spans="1:36" ht="12.75">
      <c r="A76" s="6">
        <v>6.13</v>
      </c>
      <c r="B76" s="32" t="s">
        <v>32</v>
      </c>
      <c r="C76" s="33" t="s">
        <v>12</v>
      </c>
      <c r="D76" s="74"/>
      <c r="E76" s="75" t="str">
        <f t="shared" si="19"/>
        <v/>
      </c>
      <c r="F76" s="75" t="str">
        <f t="shared" si="20"/>
        <v/>
      </c>
      <c r="G76" s="75" t="str">
        <f t="shared" si="21"/>
        <v/>
      </c>
      <c r="H76" s="75" t="str">
        <f t="shared" si="22"/>
        <v/>
      </c>
      <c r="I76" s="75" t="str">
        <f t="shared" si="23"/>
        <v/>
      </c>
      <c r="J76" s="74" t="str">
        <f t="shared" ca="1" si="24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5"/>
        <v>input starter in column D</v>
      </c>
      <c r="Q76" s="5" t="str">
        <f t="shared" si="13"/>
        <v/>
      </c>
      <c r="R76" s="10">
        <v>2</v>
      </c>
      <c r="AJ76" s="33" t="str">
        <f t="shared" ca="1" si="18"/>
        <v>BEA</v>
      </c>
    </row>
    <row r="77" spans="1:36" ht="12.75">
      <c r="A77" s="6">
        <v>6.14</v>
      </c>
      <c r="B77" s="33" t="s">
        <v>32</v>
      </c>
      <c r="C77" s="33" t="s">
        <v>55</v>
      </c>
      <c r="D77" s="74"/>
      <c r="E77" s="75" t="str">
        <f t="shared" si="19"/>
        <v/>
      </c>
      <c r="F77" s="75" t="str">
        <f t="shared" si="20"/>
        <v/>
      </c>
      <c r="G77" s="75" t="str">
        <f t="shared" si="21"/>
        <v/>
      </c>
      <c r="H77" s="75" t="str">
        <f t="shared" si="22"/>
        <v/>
      </c>
      <c r="I77" s="75" t="str">
        <f t="shared" si="23"/>
        <v/>
      </c>
      <c r="J77" s="74" t="str">
        <f t="shared" ca="1" si="24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5"/>
        <v>input starter in column D</v>
      </c>
      <c r="Q77" s="5" t="str">
        <f t="shared" si="13"/>
        <v/>
      </c>
      <c r="R77" s="10">
        <v>4</v>
      </c>
      <c r="AJ77" s="33" t="str">
        <f t="shared" ca="1" si="18"/>
        <v>BEA</v>
      </c>
    </row>
    <row r="78" spans="1:36" ht="12.75">
      <c r="A78" s="6">
        <v>6.15</v>
      </c>
      <c r="B78" s="33" t="s">
        <v>32</v>
      </c>
      <c r="C78" s="33" t="s">
        <v>55</v>
      </c>
      <c r="D78" s="74"/>
      <c r="E78" s="75" t="str">
        <f t="shared" si="19"/>
        <v/>
      </c>
      <c r="F78" s="75" t="str">
        <f t="shared" si="20"/>
        <v/>
      </c>
      <c r="G78" s="75" t="str">
        <f t="shared" si="21"/>
        <v/>
      </c>
      <c r="H78" s="75" t="str">
        <f t="shared" si="22"/>
        <v/>
      </c>
      <c r="I78" s="75" t="str">
        <f t="shared" si="23"/>
        <v/>
      </c>
      <c r="J78" s="74" t="str">
        <f t="shared" ca="1" si="24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5"/>
        <v>input starter in column D</v>
      </c>
      <c r="Q78" s="5" t="str">
        <f t="shared" si="13"/>
        <v/>
      </c>
      <c r="R78" s="10">
        <v>3</v>
      </c>
      <c r="AJ78" s="33" t="str">
        <f t="shared" ca="1" si="18"/>
        <v>BEA</v>
      </c>
    </row>
    <row r="79" spans="1:36" ht="12.75">
      <c r="A79" s="6">
        <v>6.16</v>
      </c>
      <c r="B79" s="33" t="s">
        <v>32</v>
      </c>
      <c r="C79" s="33" t="s">
        <v>55</v>
      </c>
      <c r="D79" s="74"/>
      <c r="E79" s="75" t="str">
        <f t="shared" si="19"/>
        <v/>
      </c>
      <c r="F79" s="75" t="str">
        <f t="shared" si="20"/>
        <v/>
      </c>
      <c r="G79" s="75" t="str">
        <f t="shared" si="21"/>
        <v/>
      </c>
      <c r="H79" s="75" t="str">
        <f t="shared" si="22"/>
        <v/>
      </c>
      <c r="I79" s="75" t="str">
        <f t="shared" si="23"/>
        <v/>
      </c>
      <c r="J79" s="74" t="str">
        <f t="shared" ca="1" si="24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5"/>
        <v>input starter in column D</v>
      </c>
      <c r="Q79" s="5" t="str">
        <f t="shared" si="13"/>
        <v/>
      </c>
      <c r="R79" s="10">
        <v>1</v>
      </c>
      <c r="AJ79" s="33" t="str">
        <f t="shared" ca="1" si="18"/>
        <v>BEA</v>
      </c>
    </row>
    <row r="80" spans="1:36" ht="12.75">
      <c r="A80" s="6">
        <v>6.17</v>
      </c>
      <c r="B80" s="33" t="s">
        <v>32</v>
      </c>
      <c r="C80" s="33" t="s">
        <v>55</v>
      </c>
      <c r="D80" s="74"/>
      <c r="E80" s="75" t="str">
        <f t="shared" si="19"/>
        <v/>
      </c>
      <c r="F80" s="75" t="str">
        <f t="shared" si="20"/>
        <v/>
      </c>
      <c r="G80" s="75" t="str">
        <f t="shared" si="21"/>
        <v/>
      </c>
      <c r="H80" s="75" t="str">
        <f t="shared" si="22"/>
        <v/>
      </c>
      <c r="I80" s="75" t="str">
        <f t="shared" si="23"/>
        <v/>
      </c>
      <c r="J80" s="74" t="str">
        <f t="shared" ca="1" si="24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5"/>
        <v>input starter in column D</v>
      </c>
      <c r="Q80" s="5" t="str">
        <f t="shared" si="13"/>
        <v/>
      </c>
      <c r="R80" s="10">
        <v>5</v>
      </c>
      <c r="AJ80" s="33" t="str">
        <f t="shared" ca="1" si="18"/>
        <v>BEA</v>
      </c>
    </row>
    <row r="81" spans="1:36" ht="12.75">
      <c r="A81" s="6">
        <v>6.18</v>
      </c>
      <c r="B81" s="33"/>
      <c r="C81" s="33" t="s">
        <v>1918</v>
      </c>
      <c r="D81" s="74"/>
      <c r="E81" s="75" t="str">
        <f t="shared" si="19"/>
        <v/>
      </c>
      <c r="F81" s="75" t="str">
        <f t="shared" si="20"/>
        <v/>
      </c>
      <c r="G81" s="75" t="str">
        <f t="shared" si="21"/>
        <v/>
      </c>
      <c r="H81" s="75" t="str">
        <f t="shared" si="22"/>
        <v/>
      </c>
      <c r="I81" s="75" t="str">
        <f t="shared" si="23"/>
        <v/>
      </c>
      <c r="J81" s="74" t="str">
        <f t="shared" ca="1" si="24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5"/>
        <v>input starter in column D</v>
      </c>
      <c r="Q81" s="5" t="str">
        <f t="shared" si="13"/>
        <v/>
      </c>
      <c r="R81" s="10">
        <v>2</v>
      </c>
      <c r="AJ81" s="33" t="str">
        <f t="shared" ca="1" si="18"/>
        <v>BEA</v>
      </c>
    </row>
    <row r="82" spans="1:36" ht="12.75">
      <c r="A82" s="6">
        <v>6.19</v>
      </c>
      <c r="B82" s="33"/>
      <c r="C82" s="33" t="s">
        <v>1918</v>
      </c>
      <c r="D82" s="74"/>
      <c r="E82" s="75" t="str">
        <f t="shared" si="19"/>
        <v/>
      </c>
      <c r="F82" s="75" t="str">
        <f t="shared" si="20"/>
        <v/>
      </c>
      <c r="G82" s="75" t="str">
        <f t="shared" si="21"/>
        <v/>
      </c>
      <c r="H82" s="75" t="str">
        <f t="shared" si="22"/>
        <v/>
      </c>
      <c r="I82" s="75" t="str">
        <f t="shared" si="23"/>
        <v/>
      </c>
      <c r="J82" s="74" t="str">
        <f t="shared" ca="1" si="24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5"/>
        <v>input starter in column D</v>
      </c>
      <c r="Q82" s="5" t="str">
        <f t="shared" si="13"/>
        <v/>
      </c>
      <c r="R82" s="10">
        <v>4</v>
      </c>
      <c r="AJ82" s="33" t="str">
        <f t="shared" ca="1" si="18"/>
        <v>BEA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8"/>
        <v/>
      </c>
    </row>
    <row r="84" spans="1:36" ht="12.75">
      <c r="A84" s="6">
        <v>6.21</v>
      </c>
      <c r="B84" s="33"/>
      <c r="C84" s="33" t="s">
        <v>1918</v>
      </c>
      <c r="D84" s="74"/>
      <c r="E84" s="75" t="str">
        <f t="shared" si="19"/>
        <v/>
      </c>
      <c r="F84" s="75" t="str">
        <f t="shared" si="20"/>
        <v/>
      </c>
      <c r="G84" s="75" t="str">
        <f t="shared" si="21"/>
        <v/>
      </c>
      <c r="H84" s="75" t="str">
        <f t="shared" si="22"/>
        <v/>
      </c>
      <c r="I84" s="75" t="str">
        <f t="shared" si="23"/>
        <v/>
      </c>
      <c r="J84" s="74" t="str">
        <f t="shared" ca="1" si="24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6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3"/>
        <v/>
      </c>
      <c r="R84" s="10">
        <v>1</v>
      </c>
      <c r="AJ84" s="33" t="str">
        <f t="shared" ca="1" si="18"/>
        <v>BEA</v>
      </c>
    </row>
    <row r="85" spans="1:36" ht="12.75">
      <c r="A85" s="6">
        <v>6.22</v>
      </c>
      <c r="B85" s="33"/>
      <c r="C85" s="33" t="s">
        <v>1918</v>
      </c>
      <c r="D85" s="74"/>
      <c r="E85" s="75" t="str">
        <f t="shared" si="19"/>
        <v/>
      </c>
      <c r="F85" s="75" t="str">
        <f t="shared" si="20"/>
        <v/>
      </c>
      <c r="G85" s="75" t="str">
        <f t="shared" si="21"/>
        <v/>
      </c>
      <c r="H85" s="75" t="str">
        <f t="shared" si="22"/>
        <v/>
      </c>
      <c r="I85" s="75" t="str">
        <f t="shared" si="23"/>
        <v/>
      </c>
      <c r="J85" s="74" t="str">
        <f t="shared" ca="1" si="24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6"/>
        <v>input starter in column D</v>
      </c>
      <c r="Q85" s="5" t="str">
        <f t="shared" si="13"/>
        <v/>
      </c>
      <c r="R85" s="10">
        <v>3</v>
      </c>
      <c r="AJ85" s="33" t="str">
        <f t="shared" ca="1" si="18"/>
        <v>BEA</v>
      </c>
    </row>
    <row r="86" spans="1:36" ht="12.75">
      <c r="A86" s="6">
        <v>6.23</v>
      </c>
      <c r="B86" s="33"/>
      <c r="C86" s="33" t="s">
        <v>40</v>
      </c>
      <c r="D86" s="74"/>
      <c r="E86" s="75" t="str">
        <f t="shared" si="19"/>
        <v/>
      </c>
      <c r="F86" s="75" t="str">
        <f t="shared" si="20"/>
        <v/>
      </c>
      <c r="G86" s="75" t="str">
        <f t="shared" si="21"/>
        <v/>
      </c>
      <c r="H86" s="75" t="str">
        <f t="shared" si="22"/>
        <v/>
      </c>
      <c r="I86" s="75" t="str">
        <f t="shared" si="23"/>
        <v/>
      </c>
      <c r="J86" s="74" t="str">
        <f t="shared" ca="1" si="24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6"/>
        <v>input starter in column D</v>
      </c>
      <c r="Q86" s="5" t="str">
        <f t="shared" si="13"/>
        <v/>
      </c>
      <c r="R86" s="10">
        <v>2</v>
      </c>
      <c r="AJ86" s="33" t="str">
        <f t="shared" ca="1" si="18"/>
        <v>BEA</v>
      </c>
    </row>
    <row r="87" spans="1:36" ht="12.75">
      <c r="A87" s="6">
        <v>6.24</v>
      </c>
      <c r="B87" s="33"/>
      <c r="C87" s="33" t="s">
        <v>40</v>
      </c>
      <c r="D87" s="74"/>
      <c r="E87" s="75" t="str">
        <f t="shared" si="19"/>
        <v/>
      </c>
      <c r="F87" s="75" t="str">
        <f t="shared" si="20"/>
        <v/>
      </c>
      <c r="G87" s="75" t="str">
        <f t="shared" si="21"/>
        <v/>
      </c>
      <c r="H87" s="75" t="str">
        <f t="shared" si="22"/>
        <v/>
      </c>
      <c r="I87" s="75" t="str">
        <f t="shared" si="23"/>
        <v/>
      </c>
      <c r="J87" s="74" t="str">
        <f t="shared" ca="1" si="24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6"/>
        <v>input starter in column D</v>
      </c>
      <c r="Q87" s="5" t="str">
        <f t="shared" si="13"/>
        <v/>
      </c>
      <c r="R87" s="10">
        <v>4</v>
      </c>
      <c r="AJ87" s="33" t="str">
        <f t="shared" ca="1" si="18"/>
        <v>BEA</v>
      </c>
    </row>
    <row r="88" spans="1:36" ht="12.75">
      <c r="A88" s="6">
        <v>6.25</v>
      </c>
      <c r="B88" s="33"/>
      <c r="C88" s="33" t="s">
        <v>40</v>
      </c>
      <c r="D88" s="74"/>
      <c r="E88" s="75" t="str">
        <f t="shared" si="19"/>
        <v/>
      </c>
      <c r="F88" s="75" t="str">
        <f t="shared" si="20"/>
        <v/>
      </c>
      <c r="G88" s="75" t="str">
        <f t="shared" si="21"/>
        <v/>
      </c>
      <c r="H88" s="75" t="str">
        <f t="shared" si="22"/>
        <v/>
      </c>
      <c r="I88" s="75" t="str">
        <f t="shared" si="23"/>
        <v/>
      </c>
      <c r="J88" s="74" t="str">
        <f t="shared" ca="1" si="24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6"/>
        <v>input starter in column D</v>
      </c>
      <c r="Q88" s="5" t="str">
        <f t="shared" si="13"/>
        <v/>
      </c>
      <c r="R88" s="10">
        <v>5</v>
      </c>
      <c r="AJ88" s="33" t="str">
        <f t="shared" ca="1" si="18"/>
        <v>BEA</v>
      </c>
    </row>
    <row r="89" spans="1:36" ht="12.75">
      <c r="A89" s="6">
        <v>6.26</v>
      </c>
      <c r="B89" s="33"/>
      <c r="C89" s="33" t="s">
        <v>40</v>
      </c>
      <c r="D89" s="74"/>
      <c r="E89" s="75" t="str">
        <f t="shared" si="19"/>
        <v/>
      </c>
      <c r="F89" s="75" t="str">
        <f t="shared" si="20"/>
        <v/>
      </c>
      <c r="G89" s="75" t="str">
        <f t="shared" si="21"/>
        <v/>
      </c>
      <c r="H89" s="75" t="str">
        <f t="shared" si="22"/>
        <v/>
      </c>
      <c r="I89" s="75" t="str">
        <f t="shared" si="23"/>
        <v/>
      </c>
      <c r="J89" s="74" t="str">
        <f t="shared" ca="1" si="24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6"/>
        <v>input starter in column D</v>
      </c>
      <c r="Q89" s="5" t="str">
        <f t="shared" si="13"/>
        <v/>
      </c>
      <c r="R89" s="10">
        <v>1</v>
      </c>
      <c r="AJ89" s="33" t="str">
        <f t="shared" ca="1" si="18"/>
        <v>BEA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8"/>
        <v/>
      </c>
    </row>
    <row r="91" spans="1:36" ht="12.75">
      <c r="A91" s="6">
        <v>6.28</v>
      </c>
      <c r="B91" s="33"/>
      <c r="C91" s="33" t="s">
        <v>45</v>
      </c>
      <c r="D91" s="74"/>
      <c r="E91" s="75" t="str">
        <f t="shared" si="19"/>
        <v/>
      </c>
      <c r="F91" s="75" t="str">
        <f t="shared" si="20"/>
        <v/>
      </c>
      <c r="G91" s="75" t="str">
        <f t="shared" si="21"/>
        <v/>
      </c>
      <c r="H91" s="75" t="str">
        <f t="shared" si="22"/>
        <v/>
      </c>
      <c r="I91" s="75" t="str">
        <f t="shared" si="23"/>
        <v/>
      </c>
      <c r="J91" s="74" t="str">
        <f t="shared" ca="1" si="24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7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3"/>
        <v/>
      </c>
      <c r="R91" s="10">
        <v>2</v>
      </c>
      <c r="AJ91" s="33" t="str">
        <f t="shared" ca="1" si="18"/>
        <v>BEA</v>
      </c>
    </row>
    <row r="92" spans="1:36" ht="12.75">
      <c r="A92" s="6">
        <v>6.29</v>
      </c>
      <c r="B92" s="33"/>
      <c r="C92" s="33" t="s">
        <v>45</v>
      </c>
      <c r="D92" s="74"/>
      <c r="E92" s="75" t="str">
        <f t="shared" si="19"/>
        <v/>
      </c>
      <c r="F92" s="75" t="str">
        <f t="shared" si="20"/>
        <v/>
      </c>
      <c r="G92" s="75" t="str">
        <f t="shared" si="21"/>
        <v/>
      </c>
      <c r="H92" s="75" t="str">
        <f t="shared" si="22"/>
        <v/>
      </c>
      <c r="I92" s="75" t="str">
        <f t="shared" si="23"/>
        <v/>
      </c>
      <c r="J92" s="74" t="str">
        <f t="shared" ca="1" si="24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7"/>
        <v>input starter in column D</v>
      </c>
      <c r="Q92" s="5" t="str">
        <f t="shared" si="13"/>
        <v/>
      </c>
      <c r="R92" s="10">
        <v>3</v>
      </c>
      <c r="AJ92" s="33" t="str">
        <f t="shared" ca="1" si="18"/>
        <v>BEA</v>
      </c>
    </row>
    <row r="93" spans="1:36" ht="12.75">
      <c r="A93" s="6">
        <v>6.3</v>
      </c>
      <c r="B93" s="33"/>
      <c r="C93" s="33" t="s">
        <v>45</v>
      </c>
      <c r="D93" s="74"/>
      <c r="E93" s="75" t="str">
        <f t="shared" si="19"/>
        <v/>
      </c>
      <c r="F93" s="75" t="str">
        <f t="shared" si="20"/>
        <v/>
      </c>
      <c r="G93" s="75" t="str">
        <f t="shared" si="21"/>
        <v/>
      </c>
      <c r="H93" s="75" t="str">
        <f t="shared" si="22"/>
        <v/>
      </c>
      <c r="I93" s="75" t="str">
        <f t="shared" si="23"/>
        <v/>
      </c>
      <c r="J93" s="74" t="str">
        <f t="shared" ca="1" si="24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7"/>
        <v>input starter in column D</v>
      </c>
      <c r="Q93" s="5" t="str">
        <f t="shared" si="13"/>
        <v/>
      </c>
      <c r="R93" s="10">
        <v>4</v>
      </c>
      <c r="AJ93" s="33" t="str">
        <f t="shared" ca="1" si="18"/>
        <v>BEA</v>
      </c>
    </row>
    <row r="94" spans="1:36" ht="12.75">
      <c r="A94" s="6">
        <v>7.01</v>
      </c>
      <c r="B94" s="33" t="s">
        <v>32</v>
      </c>
      <c r="C94" s="33" t="s">
        <v>44</v>
      </c>
      <c r="D94" s="74"/>
      <c r="E94" s="75" t="str">
        <f t="shared" si="19"/>
        <v/>
      </c>
      <c r="F94" s="75" t="str">
        <f t="shared" si="20"/>
        <v/>
      </c>
      <c r="G94" s="75" t="str">
        <f t="shared" si="21"/>
        <v/>
      </c>
      <c r="H94" s="75" t="str">
        <f t="shared" si="22"/>
        <v/>
      </c>
      <c r="I94" s="75" t="str">
        <f t="shared" si="23"/>
        <v/>
      </c>
      <c r="J94" s="74" t="str">
        <f t="shared" ca="1" si="24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7"/>
        <v>input starter in column D</v>
      </c>
      <c r="Q94" s="5" t="str">
        <f t="shared" si="13"/>
        <v/>
      </c>
      <c r="R94" s="10">
        <v>1</v>
      </c>
      <c r="AJ94" s="33" t="str">
        <f t="shared" ca="1" si="18"/>
        <v>BEA</v>
      </c>
    </row>
    <row r="95" spans="1:36" ht="12.75">
      <c r="A95" s="6">
        <v>7.02</v>
      </c>
      <c r="B95" s="33" t="s">
        <v>32</v>
      </c>
      <c r="C95" s="33" t="s">
        <v>44</v>
      </c>
      <c r="D95" s="74"/>
      <c r="E95" s="75" t="str">
        <f t="shared" si="19"/>
        <v/>
      </c>
      <c r="F95" s="75" t="str">
        <f t="shared" si="20"/>
        <v/>
      </c>
      <c r="G95" s="75" t="str">
        <f t="shared" si="21"/>
        <v/>
      </c>
      <c r="H95" s="75" t="str">
        <f t="shared" si="22"/>
        <v/>
      </c>
      <c r="I95" s="75" t="str">
        <f t="shared" si="23"/>
        <v/>
      </c>
      <c r="J95" s="74" t="str">
        <f t="shared" ca="1" si="24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7"/>
        <v>input starter in column D</v>
      </c>
      <c r="Q95" s="5" t="str">
        <f t="shared" si="13"/>
        <v/>
      </c>
      <c r="R95" s="10">
        <v>5</v>
      </c>
      <c r="AJ95" s="33" t="str">
        <f t="shared" ca="1" si="18"/>
        <v>BEA</v>
      </c>
    </row>
    <row r="96" spans="1:36" ht="12.75">
      <c r="A96" s="6">
        <v>7.03</v>
      </c>
      <c r="B96" s="33" t="s">
        <v>32</v>
      </c>
      <c r="C96" s="33" t="s">
        <v>44</v>
      </c>
      <c r="D96" s="74"/>
      <c r="E96" s="75" t="str">
        <f t="shared" si="19"/>
        <v/>
      </c>
      <c r="F96" s="75" t="str">
        <f t="shared" si="20"/>
        <v/>
      </c>
      <c r="G96" s="75" t="str">
        <f t="shared" si="21"/>
        <v/>
      </c>
      <c r="H96" s="75" t="str">
        <f t="shared" si="22"/>
        <v/>
      </c>
      <c r="I96" s="75" t="str">
        <f t="shared" si="23"/>
        <v/>
      </c>
      <c r="J96" s="74" t="str">
        <f t="shared" ca="1" si="24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7"/>
        <v>input starter in column D</v>
      </c>
      <c r="Q96" s="5" t="str">
        <f t="shared" si="13"/>
        <v/>
      </c>
      <c r="R96" s="10">
        <v>2</v>
      </c>
      <c r="AJ96" s="33" t="str">
        <f t="shared" ca="1" si="18"/>
        <v>BEA</v>
      </c>
    </row>
    <row r="97" spans="1:36" ht="12.75">
      <c r="A97" s="6">
        <v>7.04</v>
      </c>
      <c r="B97" s="32" t="s">
        <v>32</v>
      </c>
      <c r="C97" s="33" t="s">
        <v>15</v>
      </c>
      <c r="D97" s="74"/>
      <c r="E97" s="75" t="str">
        <f t="shared" si="19"/>
        <v/>
      </c>
      <c r="F97" s="75" t="str">
        <f t="shared" si="20"/>
        <v/>
      </c>
      <c r="G97" s="75" t="str">
        <f t="shared" si="21"/>
        <v/>
      </c>
      <c r="H97" s="75" t="str">
        <f t="shared" si="22"/>
        <v/>
      </c>
      <c r="I97" s="75" t="str">
        <f t="shared" si="23"/>
        <v/>
      </c>
      <c r="J97" s="74" t="str">
        <f t="shared" ca="1" si="24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7"/>
        <v>input starter in column D</v>
      </c>
      <c r="Q97" s="5" t="str">
        <f t="shared" ref="Q97:Q160" si="28">IF(P97="not enough rest","input a DIFFERENT starter in column C","")</f>
        <v/>
      </c>
      <c r="R97" s="10">
        <v>3</v>
      </c>
      <c r="AJ97" s="33" t="str">
        <f t="shared" ca="1" si="18"/>
        <v>BEA</v>
      </c>
    </row>
    <row r="98" spans="1:36" ht="12.75">
      <c r="A98" s="6">
        <v>7.05</v>
      </c>
      <c r="B98" s="32" t="s">
        <v>32</v>
      </c>
      <c r="C98" s="33" t="s">
        <v>15</v>
      </c>
      <c r="D98" s="74"/>
      <c r="E98" s="75" t="str">
        <f t="shared" si="19"/>
        <v/>
      </c>
      <c r="F98" s="75" t="str">
        <f t="shared" si="20"/>
        <v/>
      </c>
      <c r="G98" s="75" t="str">
        <f t="shared" si="21"/>
        <v/>
      </c>
      <c r="H98" s="75" t="str">
        <f t="shared" si="22"/>
        <v/>
      </c>
      <c r="I98" s="75" t="str">
        <f t="shared" si="23"/>
        <v/>
      </c>
      <c r="J98" s="74" t="str">
        <f t="shared" ca="1" si="24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7"/>
        <v>input starter in column D</v>
      </c>
      <c r="Q98" s="5" t="str">
        <f t="shared" si="28"/>
        <v/>
      </c>
      <c r="R98" s="10">
        <v>4</v>
      </c>
      <c r="AJ98" s="33" t="str">
        <f t="shared" ca="1" si="18"/>
        <v>BEA</v>
      </c>
    </row>
    <row r="99" spans="1:36" ht="12.75">
      <c r="A99" s="6">
        <v>7.06</v>
      </c>
      <c r="B99" s="32" t="s">
        <v>32</v>
      </c>
      <c r="C99" s="33" t="s">
        <v>15</v>
      </c>
      <c r="D99" s="74"/>
      <c r="E99" s="75" t="str">
        <f t="shared" si="19"/>
        <v/>
      </c>
      <c r="F99" s="75" t="str">
        <f t="shared" si="20"/>
        <v/>
      </c>
      <c r="G99" s="75" t="str">
        <f t="shared" si="21"/>
        <v/>
      </c>
      <c r="H99" s="75" t="str">
        <f t="shared" si="22"/>
        <v/>
      </c>
      <c r="I99" s="75" t="str">
        <f t="shared" si="23"/>
        <v/>
      </c>
      <c r="J99" s="74" t="str">
        <f t="shared" ca="1" si="24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7"/>
        <v>input starter in column D</v>
      </c>
      <c r="Q99" s="5" t="str">
        <f t="shared" si="28"/>
        <v/>
      </c>
      <c r="R99" s="10">
        <v>1</v>
      </c>
      <c r="AJ99" s="33" t="str">
        <f t="shared" ca="1" si="18"/>
        <v>BEA</v>
      </c>
    </row>
    <row r="100" spans="1:36" ht="12.75">
      <c r="A100" s="6">
        <v>7.07</v>
      </c>
      <c r="B100" s="33"/>
      <c r="C100" s="33" t="s">
        <v>35</v>
      </c>
      <c r="D100" s="74"/>
      <c r="E100" s="75" t="str">
        <f t="shared" si="19"/>
        <v/>
      </c>
      <c r="F100" s="75" t="str">
        <f t="shared" si="20"/>
        <v/>
      </c>
      <c r="G100" s="75" t="str">
        <f t="shared" si="21"/>
        <v/>
      </c>
      <c r="H100" s="75" t="str">
        <f t="shared" si="22"/>
        <v/>
      </c>
      <c r="I100" s="75" t="str">
        <f t="shared" si="23"/>
        <v/>
      </c>
      <c r="J100" s="74" t="str">
        <f t="shared" ca="1" si="24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7"/>
        <v>input starter in column D</v>
      </c>
      <c r="Q100" s="5" t="str">
        <f t="shared" si="28"/>
        <v/>
      </c>
      <c r="R100" s="10">
        <v>5</v>
      </c>
      <c r="AJ100" s="33" t="str">
        <f t="shared" ca="1" si="18"/>
        <v>BEA</v>
      </c>
    </row>
    <row r="101" spans="1:36" ht="12.75">
      <c r="A101" s="6">
        <v>7.08</v>
      </c>
      <c r="B101" s="33"/>
      <c r="C101" s="33" t="s">
        <v>35</v>
      </c>
      <c r="D101" s="74"/>
      <c r="E101" s="75" t="str">
        <f t="shared" si="19"/>
        <v/>
      </c>
      <c r="F101" s="75" t="str">
        <f t="shared" si="20"/>
        <v/>
      </c>
      <c r="G101" s="75" t="str">
        <f t="shared" si="21"/>
        <v/>
      </c>
      <c r="H101" s="75" t="str">
        <f t="shared" si="22"/>
        <v/>
      </c>
      <c r="I101" s="75" t="str">
        <f t="shared" si="23"/>
        <v/>
      </c>
      <c r="J101" s="74" t="str">
        <f t="shared" ca="1" si="24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7"/>
        <v>input starter in column D</v>
      </c>
      <c r="Q101" s="5" t="str">
        <f t="shared" si="28"/>
        <v/>
      </c>
      <c r="R101" s="10">
        <v>2</v>
      </c>
      <c r="AJ101" s="33" t="str">
        <f t="shared" ca="1" si="18"/>
        <v>BEA</v>
      </c>
    </row>
    <row r="102" spans="1:36" ht="12.75">
      <c r="A102" s="6">
        <v>7.09</v>
      </c>
      <c r="B102" s="33"/>
      <c r="C102" s="33" t="s">
        <v>35</v>
      </c>
      <c r="D102" s="74"/>
      <c r="E102" s="75" t="str">
        <f t="shared" si="19"/>
        <v/>
      </c>
      <c r="F102" s="75" t="str">
        <f t="shared" si="20"/>
        <v/>
      </c>
      <c r="G102" s="75" t="str">
        <f t="shared" si="21"/>
        <v/>
      </c>
      <c r="H102" s="75" t="str">
        <f t="shared" si="22"/>
        <v/>
      </c>
      <c r="I102" s="75" t="str">
        <f t="shared" si="23"/>
        <v/>
      </c>
      <c r="J102" s="74" t="str">
        <f t="shared" ca="1" si="24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7"/>
        <v>input starter in column D</v>
      </c>
      <c r="Q102" s="5" t="str">
        <f t="shared" si="28"/>
        <v/>
      </c>
      <c r="R102" s="10">
        <v>3</v>
      </c>
      <c r="AJ102" s="33" t="str">
        <f t="shared" ca="1" si="18"/>
        <v>BEA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8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8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8"/>
        <v/>
      </c>
    </row>
    <row r="106" spans="1:36" ht="12.75">
      <c r="A106" s="6">
        <v>7.13</v>
      </c>
      <c r="B106" s="33" t="s">
        <v>32</v>
      </c>
      <c r="C106" s="33" t="s">
        <v>13</v>
      </c>
      <c r="D106" s="74"/>
      <c r="E106" s="75" t="str">
        <f t="shared" si="19"/>
        <v/>
      </c>
      <c r="F106" s="75" t="str">
        <f t="shared" si="20"/>
        <v/>
      </c>
      <c r="G106" s="75" t="str">
        <f t="shared" si="21"/>
        <v/>
      </c>
      <c r="H106" s="75" t="str">
        <f t="shared" si="22"/>
        <v/>
      </c>
      <c r="I106" s="75" t="str">
        <f t="shared" si="23"/>
        <v/>
      </c>
      <c r="J106" s="74" t="str">
        <f t="shared" ca="1" si="24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9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8"/>
        <v/>
      </c>
      <c r="R106" s="10">
        <v>1</v>
      </c>
      <c r="AJ106" s="33" t="str">
        <f t="shared" ca="1" si="18"/>
        <v>BEA</v>
      </c>
    </row>
    <row r="107" spans="1:36" ht="12.75">
      <c r="A107" s="6">
        <v>7.14</v>
      </c>
      <c r="B107" s="33" t="s">
        <v>32</v>
      </c>
      <c r="C107" s="33" t="s">
        <v>13</v>
      </c>
      <c r="D107" s="74"/>
      <c r="E107" s="75" t="str">
        <f t="shared" si="19"/>
        <v/>
      </c>
      <c r="F107" s="75" t="str">
        <f t="shared" si="20"/>
        <v/>
      </c>
      <c r="G107" s="75" t="str">
        <f t="shared" si="21"/>
        <v/>
      </c>
      <c r="H107" s="75" t="str">
        <f t="shared" si="22"/>
        <v/>
      </c>
      <c r="I107" s="75" t="str">
        <f t="shared" si="23"/>
        <v/>
      </c>
      <c r="J107" s="74" t="str">
        <f t="shared" ca="1" si="24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9"/>
        <v>input starter in column D</v>
      </c>
      <c r="Q107" s="5" t="str">
        <f t="shared" si="28"/>
        <v/>
      </c>
      <c r="R107" s="10">
        <v>2</v>
      </c>
      <c r="AJ107" s="33" t="str">
        <f t="shared" ca="1" si="18"/>
        <v>BEA</v>
      </c>
    </row>
    <row r="108" spans="1:36" ht="12.75">
      <c r="A108" s="6">
        <v>7.15</v>
      </c>
      <c r="B108" s="33" t="s">
        <v>32</v>
      </c>
      <c r="C108" s="33" t="s">
        <v>13</v>
      </c>
      <c r="D108" s="74"/>
      <c r="E108" s="75" t="str">
        <f t="shared" si="19"/>
        <v/>
      </c>
      <c r="F108" s="75" t="str">
        <f t="shared" si="20"/>
        <v/>
      </c>
      <c r="G108" s="75" t="str">
        <f t="shared" si="21"/>
        <v/>
      </c>
      <c r="H108" s="75" t="str">
        <f t="shared" si="22"/>
        <v/>
      </c>
      <c r="I108" s="75" t="str">
        <f t="shared" si="23"/>
        <v/>
      </c>
      <c r="J108" s="74" t="str">
        <f t="shared" ca="1" si="24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9"/>
        <v>input starter in column D</v>
      </c>
      <c r="Q108" s="5" t="str">
        <f t="shared" si="28"/>
        <v/>
      </c>
      <c r="R108" s="10">
        <v>3</v>
      </c>
      <c r="AJ108" s="33" t="str">
        <f t="shared" ca="1" si="18"/>
        <v>BEA</v>
      </c>
    </row>
    <row r="109" spans="1:36" ht="12.75">
      <c r="A109" s="6">
        <v>7.16</v>
      </c>
      <c r="B109" s="33"/>
      <c r="C109" s="33" t="s">
        <v>1191</v>
      </c>
      <c r="D109" s="74"/>
      <c r="E109" s="75" t="str">
        <f t="shared" si="19"/>
        <v/>
      </c>
      <c r="F109" s="75" t="str">
        <f t="shared" si="20"/>
        <v/>
      </c>
      <c r="G109" s="75" t="str">
        <f t="shared" si="21"/>
        <v/>
      </c>
      <c r="H109" s="75" t="str">
        <f t="shared" si="22"/>
        <v/>
      </c>
      <c r="I109" s="75" t="str">
        <f t="shared" si="23"/>
        <v/>
      </c>
      <c r="J109" s="74" t="str">
        <f t="shared" ca="1" si="24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9"/>
        <v>input starter in column D</v>
      </c>
      <c r="Q109" s="5" t="str">
        <f t="shared" si="28"/>
        <v/>
      </c>
      <c r="R109" s="10">
        <v>4</v>
      </c>
      <c r="AJ109" s="33" t="str">
        <f t="shared" ca="1" si="18"/>
        <v>BEA</v>
      </c>
    </row>
    <row r="110" spans="1:36" ht="12.75">
      <c r="A110" s="6">
        <v>7.17</v>
      </c>
      <c r="B110" s="33"/>
      <c r="C110" s="33" t="s">
        <v>1191</v>
      </c>
      <c r="D110" s="74"/>
      <c r="E110" s="75" t="str">
        <f t="shared" si="19"/>
        <v/>
      </c>
      <c r="F110" s="75" t="str">
        <f t="shared" si="20"/>
        <v/>
      </c>
      <c r="G110" s="75" t="str">
        <f t="shared" si="21"/>
        <v/>
      </c>
      <c r="H110" s="75" t="str">
        <f t="shared" si="22"/>
        <v/>
      </c>
      <c r="I110" s="75" t="str">
        <f t="shared" si="23"/>
        <v/>
      </c>
      <c r="J110" s="74" t="str">
        <f t="shared" ca="1" si="24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9"/>
        <v>input starter in column D</v>
      </c>
      <c r="Q110" s="5" t="str">
        <f t="shared" si="28"/>
        <v/>
      </c>
      <c r="R110" s="10">
        <v>5</v>
      </c>
      <c r="AJ110" s="33" t="str">
        <f t="shared" ca="1" si="18"/>
        <v>BEA</v>
      </c>
    </row>
    <row r="111" spans="1:36" ht="12.75">
      <c r="A111" s="6">
        <v>7.18</v>
      </c>
      <c r="B111" s="33"/>
      <c r="C111" s="33" t="s">
        <v>1191</v>
      </c>
      <c r="D111" s="74"/>
      <c r="E111" s="75" t="str">
        <f t="shared" si="19"/>
        <v/>
      </c>
      <c r="F111" s="75" t="str">
        <f t="shared" si="20"/>
        <v/>
      </c>
      <c r="G111" s="75" t="str">
        <f t="shared" si="21"/>
        <v/>
      </c>
      <c r="H111" s="75" t="str">
        <f t="shared" si="22"/>
        <v/>
      </c>
      <c r="I111" s="75" t="str">
        <f t="shared" si="23"/>
        <v/>
      </c>
      <c r="J111" s="74" t="str">
        <f t="shared" ca="1" si="24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9"/>
        <v>input starter in column D</v>
      </c>
      <c r="Q111" s="5" t="str">
        <f t="shared" si="28"/>
        <v/>
      </c>
      <c r="R111" s="10">
        <v>1</v>
      </c>
      <c r="AJ111" s="33" t="str">
        <f t="shared" ca="1" si="18"/>
        <v>BEA</v>
      </c>
    </row>
    <row r="112" spans="1:36" ht="12.75">
      <c r="A112" s="6">
        <v>7.19</v>
      </c>
      <c r="B112" s="33"/>
      <c r="C112" s="33" t="s">
        <v>52</v>
      </c>
      <c r="D112" s="74"/>
      <c r="E112" s="75" t="str">
        <f t="shared" si="19"/>
        <v/>
      </c>
      <c r="F112" s="75" t="str">
        <f t="shared" si="20"/>
        <v/>
      </c>
      <c r="G112" s="75" t="str">
        <f t="shared" si="21"/>
        <v/>
      </c>
      <c r="H112" s="75" t="str">
        <f t="shared" si="22"/>
        <v/>
      </c>
      <c r="I112" s="75" t="str">
        <f t="shared" si="23"/>
        <v/>
      </c>
      <c r="J112" s="74" t="str">
        <f t="shared" ca="1" si="24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9"/>
        <v>input starter in column D</v>
      </c>
      <c r="Q112" s="5" t="str">
        <f t="shared" si="28"/>
        <v/>
      </c>
      <c r="R112" s="10">
        <v>2</v>
      </c>
      <c r="AJ112" s="33" t="str">
        <f t="shared" ca="1" si="18"/>
        <v>BEA</v>
      </c>
    </row>
    <row r="113" spans="1:36" ht="12.75">
      <c r="A113" s="6">
        <v>7.2</v>
      </c>
      <c r="B113" s="33"/>
      <c r="C113" s="33" t="s">
        <v>52</v>
      </c>
      <c r="D113" s="74"/>
      <c r="E113" s="75" t="str">
        <f t="shared" si="19"/>
        <v/>
      </c>
      <c r="F113" s="75" t="str">
        <f t="shared" si="20"/>
        <v/>
      </c>
      <c r="G113" s="75" t="str">
        <f t="shared" si="21"/>
        <v/>
      </c>
      <c r="H113" s="75" t="str">
        <f t="shared" si="22"/>
        <v/>
      </c>
      <c r="I113" s="75" t="str">
        <f t="shared" si="23"/>
        <v/>
      </c>
      <c r="J113" s="74" t="str">
        <f t="shared" ca="1" si="24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9"/>
        <v>input starter in column D</v>
      </c>
      <c r="Q113" s="5" t="str">
        <f t="shared" si="28"/>
        <v/>
      </c>
      <c r="R113" s="10">
        <v>3</v>
      </c>
      <c r="AJ113" s="33" t="str">
        <f t="shared" ca="1" si="18"/>
        <v>BEA</v>
      </c>
    </row>
    <row r="114" spans="1:36" ht="12.75">
      <c r="A114" s="6">
        <v>7.21</v>
      </c>
      <c r="B114" s="33"/>
      <c r="C114" s="33" t="s">
        <v>52</v>
      </c>
      <c r="D114" s="74"/>
      <c r="E114" s="75" t="str">
        <f t="shared" si="19"/>
        <v/>
      </c>
      <c r="F114" s="75" t="str">
        <f t="shared" si="20"/>
        <v/>
      </c>
      <c r="G114" s="75" t="str">
        <f t="shared" si="21"/>
        <v/>
      </c>
      <c r="H114" s="75" t="str">
        <f t="shared" si="22"/>
        <v/>
      </c>
      <c r="I114" s="75" t="str">
        <f t="shared" si="23"/>
        <v/>
      </c>
      <c r="J114" s="74" t="str">
        <f t="shared" ca="1" si="24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9"/>
        <v>input starter in column D</v>
      </c>
      <c r="Q114" s="5" t="str">
        <f t="shared" si="28"/>
        <v/>
      </c>
      <c r="R114" s="10">
        <v>4</v>
      </c>
      <c r="AJ114" s="33" t="str">
        <f t="shared" ca="1" si="18"/>
        <v>BEA</v>
      </c>
    </row>
    <row r="115" spans="1:36" ht="12.75">
      <c r="A115" s="6">
        <v>7.22</v>
      </c>
      <c r="B115" s="33"/>
      <c r="C115" s="33" t="s">
        <v>52</v>
      </c>
      <c r="D115" s="74"/>
      <c r="E115" s="75" t="str">
        <f t="shared" si="19"/>
        <v/>
      </c>
      <c r="F115" s="75" t="str">
        <f t="shared" si="20"/>
        <v/>
      </c>
      <c r="G115" s="75" t="str">
        <f t="shared" si="21"/>
        <v/>
      </c>
      <c r="H115" s="75" t="str">
        <f t="shared" si="22"/>
        <v/>
      </c>
      <c r="I115" s="75" t="str">
        <f t="shared" si="23"/>
        <v/>
      </c>
      <c r="J115" s="74" t="str">
        <f t="shared" ca="1" si="24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9"/>
        <v>input starter in column D</v>
      </c>
      <c r="Q115" s="5" t="str">
        <f t="shared" si="28"/>
        <v/>
      </c>
      <c r="R115" s="10">
        <v>5</v>
      </c>
      <c r="AJ115" s="33" t="str">
        <f t="shared" ca="1" si="18"/>
        <v>BEA</v>
      </c>
    </row>
    <row r="116" spans="1:36" ht="12.75">
      <c r="A116" s="6">
        <v>7.23</v>
      </c>
      <c r="B116" s="33" t="s">
        <v>32</v>
      </c>
      <c r="C116" s="33" t="s">
        <v>39</v>
      </c>
      <c r="D116" s="74"/>
      <c r="E116" s="75" t="str">
        <f t="shared" si="19"/>
        <v/>
      </c>
      <c r="F116" s="75" t="str">
        <f t="shared" si="20"/>
        <v/>
      </c>
      <c r="G116" s="75" t="str">
        <f t="shared" si="21"/>
        <v/>
      </c>
      <c r="H116" s="75" t="str">
        <f t="shared" si="22"/>
        <v/>
      </c>
      <c r="I116" s="75" t="str">
        <f t="shared" si="23"/>
        <v/>
      </c>
      <c r="J116" s="74" t="str">
        <f t="shared" ca="1" si="24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9"/>
        <v>input starter in column D</v>
      </c>
      <c r="Q116" s="5" t="str">
        <f t="shared" si="28"/>
        <v/>
      </c>
      <c r="R116" s="10">
        <v>1</v>
      </c>
      <c r="AJ116" s="33" t="str">
        <f t="shared" ca="1" si="18"/>
        <v>BEA</v>
      </c>
    </row>
    <row r="117" spans="1:36" ht="12.75">
      <c r="A117" s="6">
        <v>7.24</v>
      </c>
      <c r="B117" s="33" t="s">
        <v>32</v>
      </c>
      <c r="C117" s="33" t="s">
        <v>39</v>
      </c>
      <c r="D117" s="74"/>
      <c r="E117" s="75" t="str">
        <f t="shared" si="19"/>
        <v/>
      </c>
      <c r="F117" s="75" t="str">
        <f t="shared" si="20"/>
        <v/>
      </c>
      <c r="G117" s="75" t="str">
        <f t="shared" si="21"/>
        <v/>
      </c>
      <c r="H117" s="75" t="str">
        <f t="shared" si="22"/>
        <v/>
      </c>
      <c r="I117" s="75" t="str">
        <f t="shared" si="23"/>
        <v/>
      </c>
      <c r="J117" s="74" t="str">
        <f t="shared" ca="1" si="24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9"/>
        <v>input starter in column D</v>
      </c>
      <c r="Q117" s="5" t="str">
        <f t="shared" si="28"/>
        <v/>
      </c>
      <c r="R117" s="10">
        <v>2</v>
      </c>
      <c r="AJ117" s="33" t="str">
        <f t="shared" ca="1" si="18"/>
        <v>BEA</v>
      </c>
    </row>
    <row r="118" spans="1:36" ht="12.75">
      <c r="A118" s="6">
        <v>7.25</v>
      </c>
      <c r="B118" s="33" t="s">
        <v>32</v>
      </c>
      <c r="C118" s="33" t="s">
        <v>39</v>
      </c>
      <c r="D118" s="74"/>
      <c r="E118" s="75" t="str">
        <f t="shared" si="19"/>
        <v/>
      </c>
      <c r="F118" s="75" t="str">
        <f t="shared" si="20"/>
        <v/>
      </c>
      <c r="G118" s="75" t="str">
        <f t="shared" si="21"/>
        <v/>
      </c>
      <c r="H118" s="75" t="str">
        <f t="shared" si="22"/>
        <v/>
      </c>
      <c r="I118" s="75" t="str">
        <f t="shared" si="23"/>
        <v/>
      </c>
      <c r="J118" s="74" t="str">
        <f t="shared" ca="1" si="24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9"/>
        <v>input starter in column D</v>
      </c>
      <c r="Q118" s="5" t="str">
        <f t="shared" si="28"/>
        <v/>
      </c>
      <c r="R118" s="10">
        <v>3</v>
      </c>
      <c r="AJ118" s="33" t="str">
        <f t="shared" ca="1" si="18"/>
        <v>BEA</v>
      </c>
    </row>
    <row r="119" spans="1:36" ht="12.75">
      <c r="A119" s="6">
        <v>7.26</v>
      </c>
      <c r="B119" s="33" t="s">
        <v>32</v>
      </c>
      <c r="C119" s="33" t="s">
        <v>39</v>
      </c>
      <c r="D119" s="74"/>
      <c r="E119" s="75" t="str">
        <f t="shared" si="19"/>
        <v/>
      </c>
      <c r="F119" s="75" t="str">
        <f t="shared" si="20"/>
        <v/>
      </c>
      <c r="G119" s="75" t="str">
        <f t="shared" si="21"/>
        <v/>
      </c>
      <c r="H119" s="75" t="str">
        <f t="shared" si="22"/>
        <v/>
      </c>
      <c r="I119" s="75" t="str">
        <f t="shared" si="23"/>
        <v/>
      </c>
      <c r="J119" s="74" t="str">
        <f t="shared" ca="1" si="24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9"/>
        <v>input starter in column D</v>
      </c>
      <c r="Q119" s="5" t="str">
        <f t="shared" si="28"/>
        <v/>
      </c>
      <c r="R119" s="10">
        <v>4</v>
      </c>
      <c r="AJ119" s="33" t="str">
        <f t="shared" ca="1" si="18"/>
        <v>BEA</v>
      </c>
    </row>
    <row r="120" spans="1:36" ht="12.75">
      <c r="A120" s="6">
        <v>7.27</v>
      </c>
      <c r="B120" s="33"/>
      <c r="C120" s="33" t="s">
        <v>54</v>
      </c>
      <c r="D120" s="74"/>
      <c r="E120" s="75" t="str">
        <f t="shared" si="19"/>
        <v/>
      </c>
      <c r="F120" s="75" t="str">
        <f t="shared" si="20"/>
        <v/>
      </c>
      <c r="G120" s="75" t="str">
        <f t="shared" si="21"/>
        <v/>
      </c>
      <c r="H120" s="75" t="str">
        <f t="shared" si="22"/>
        <v/>
      </c>
      <c r="I120" s="75" t="str">
        <f t="shared" si="23"/>
        <v/>
      </c>
      <c r="J120" s="74" t="str">
        <f t="shared" ca="1" si="24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9"/>
        <v>input starter in column D</v>
      </c>
      <c r="Q120" s="5" t="str">
        <f t="shared" si="28"/>
        <v/>
      </c>
      <c r="R120" s="10">
        <v>5</v>
      </c>
      <c r="AJ120" s="33" t="str">
        <f t="shared" ca="1" si="18"/>
        <v>BEA</v>
      </c>
    </row>
    <row r="121" spans="1:36" ht="12.75">
      <c r="A121" s="6">
        <v>7.28</v>
      </c>
      <c r="B121" s="33"/>
      <c r="C121" s="33" t="s">
        <v>54</v>
      </c>
      <c r="D121" s="74"/>
      <c r="E121" s="75" t="str">
        <f t="shared" si="19"/>
        <v/>
      </c>
      <c r="F121" s="75" t="str">
        <f t="shared" si="20"/>
        <v/>
      </c>
      <c r="G121" s="75" t="str">
        <f t="shared" si="21"/>
        <v/>
      </c>
      <c r="H121" s="75" t="str">
        <f t="shared" si="22"/>
        <v/>
      </c>
      <c r="I121" s="75" t="str">
        <f t="shared" si="23"/>
        <v/>
      </c>
      <c r="J121" s="74" t="str">
        <f t="shared" ca="1" si="24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9"/>
        <v>input starter in column D</v>
      </c>
      <c r="Q121" s="5" t="str">
        <f t="shared" si="28"/>
        <v/>
      </c>
      <c r="R121" s="10">
        <v>1</v>
      </c>
      <c r="AJ121" s="33" t="str">
        <f t="shared" ca="1" si="18"/>
        <v>BEA</v>
      </c>
    </row>
    <row r="122" spans="1:36" ht="12.75">
      <c r="A122" s="6">
        <v>7.29</v>
      </c>
      <c r="B122" s="33"/>
      <c r="C122" s="33" t="s">
        <v>54</v>
      </c>
      <c r="D122" s="74"/>
      <c r="E122" s="75" t="str">
        <f t="shared" si="19"/>
        <v/>
      </c>
      <c r="F122" s="75" t="str">
        <f t="shared" si="20"/>
        <v/>
      </c>
      <c r="G122" s="75" t="str">
        <f t="shared" si="21"/>
        <v/>
      </c>
      <c r="H122" s="75" t="str">
        <f t="shared" si="22"/>
        <v/>
      </c>
      <c r="I122" s="75" t="str">
        <f t="shared" si="23"/>
        <v/>
      </c>
      <c r="J122" s="74" t="str">
        <f t="shared" ca="1" si="24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9"/>
        <v>input starter in column D</v>
      </c>
      <c r="Q122" s="5" t="str">
        <f t="shared" si="28"/>
        <v/>
      </c>
      <c r="R122" s="10">
        <v>2</v>
      </c>
      <c r="AJ122" s="33" t="str">
        <f t="shared" ca="1" si="18"/>
        <v>BEA</v>
      </c>
    </row>
    <row r="123" spans="1:36" ht="12.75">
      <c r="A123" s="6">
        <v>7.3</v>
      </c>
      <c r="B123" s="33"/>
      <c r="C123" s="33" t="s">
        <v>54</v>
      </c>
      <c r="D123" s="74"/>
      <c r="E123" s="75" t="str">
        <f t="shared" si="19"/>
        <v/>
      </c>
      <c r="F123" s="75" t="str">
        <f t="shared" si="20"/>
        <v/>
      </c>
      <c r="G123" s="75" t="str">
        <f t="shared" si="21"/>
        <v/>
      </c>
      <c r="H123" s="75" t="str">
        <f t="shared" si="22"/>
        <v/>
      </c>
      <c r="I123" s="75" t="str">
        <f t="shared" si="23"/>
        <v/>
      </c>
      <c r="J123" s="74" t="str">
        <f t="shared" ca="1" si="24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9"/>
        <v>input starter in column D</v>
      </c>
      <c r="Q123" s="5" t="str">
        <f t="shared" si="28"/>
        <v/>
      </c>
      <c r="R123" s="10">
        <v>3</v>
      </c>
      <c r="AJ123" s="33" t="str">
        <f t="shared" ca="1" si="18"/>
        <v>BEA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8"/>
        <v/>
      </c>
    </row>
    <row r="125" spans="1:36" ht="12.75">
      <c r="A125" s="6">
        <v>8.01</v>
      </c>
      <c r="B125" s="33"/>
      <c r="C125" s="33" t="s">
        <v>34</v>
      </c>
      <c r="D125" s="74"/>
      <c r="E125" s="75" t="str">
        <f t="shared" si="19"/>
        <v/>
      </c>
      <c r="F125" s="75" t="str">
        <f t="shared" si="20"/>
        <v/>
      </c>
      <c r="G125" s="75" t="str">
        <f t="shared" si="21"/>
        <v/>
      </c>
      <c r="H125" s="75" t="str">
        <f t="shared" si="22"/>
        <v/>
      </c>
      <c r="I125" s="75" t="str">
        <f t="shared" si="23"/>
        <v/>
      </c>
      <c r="J125" s="74" t="str">
        <f t="shared" ca="1" si="24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30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8"/>
        <v/>
      </c>
      <c r="R125" s="10">
        <v>4</v>
      </c>
      <c r="AJ125" s="33" t="str">
        <f t="shared" ca="1" si="18"/>
        <v>BEA</v>
      </c>
    </row>
    <row r="126" spans="1:36" ht="12.75">
      <c r="A126" s="6">
        <v>8.02</v>
      </c>
      <c r="B126" s="33"/>
      <c r="C126" s="33" t="s">
        <v>34</v>
      </c>
      <c r="D126" s="74"/>
      <c r="E126" s="75" t="str">
        <f t="shared" si="19"/>
        <v/>
      </c>
      <c r="F126" s="75" t="str">
        <f t="shared" si="20"/>
        <v/>
      </c>
      <c r="G126" s="75" t="str">
        <f t="shared" si="21"/>
        <v/>
      </c>
      <c r="H126" s="75" t="str">
        <f t="shared" si="22"/>
        <v/>
      </c>
      <c r="I126" s="75" t="str">
        <f t="shared" si="23"/>
        <v/>
      </c>
      <c r="J126" s="74" t="str">
        <f t="shared" ca="1" si="24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30"/>
        <v>input starter in column D</v>
      </c>
      <c r="Q126" s="5" t="str">
        <f t="shared" si="28"/>
        <v/>
      </c>
      <c r="R126" s="10">
        <v>1</v>
      </c>
      <c r="AJ126" s="33" t="str">
        <f t="shared" ca="1" si="18"/>
        <v>BEA</v>
      </c>
    </row>
    <row r="127" spans="1:36" ht="12.75">
      <c r="A127" s="6">
        <v>8.0299999999999994</v>
      </c>
      <c r="B127" s="33"/>
      <c r="C127" s="33" t="s">
        <v>34</v>
      </c>
      <c r="D127" s="74"/>
      <c r="E127" s="75" t="str">
        <f t="shared" si="19"/>
        <v/>
      </c>
      <c r="F127" s="75" t="str">
        <f t="shared" si="20"/>
        <v/>
      </c>
      <c r="G127" s="75" t="str">
        <f t="shared" si="21"/>
        <v/>
      </c>
      <c r="H127" s="75" t="str">
        <f t="shared" si="22"/>
        <v/>
      </c>
      <c r="I127" s="75" t="str">
        <f t="shared" si="23"/>
        <v/>
      </c>
      <c r="J127" s="74" t="str">
        <f t="shared" ca="1" si="24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30"/>
        <v>input starter in column D</v>
      </c>
      <c r="Q127" s="5" t="str">
        <f t="shared" si="28"/>
        <v/>
      </c>
      <c r="R127" s="10">
        <v>2</v>
      </c>
      <c r="AJ127" s="33" t="str">
        <f t="shared" ca="1" si="18"/>
        <v>BEA</v>
      </c>
    </row>
    <row r="128" spans="1:36" ht="12.75">
      <c r="A128" s="6">
        <v>8.0399999999999991</v>
      </c>
      <c r="B128" s="33"/>
      <c r="C128" s="33" t="s">
        <v>34</v>
      </c>
      <c r="D128" s="74"/>
      <c r="E128" s="75" t="str">
        <f t="shared" si="19"/>
        <v/>
      </c>
      <c r="F128" s="75" t="str">
        <f t="shared" si="20"/>
        <v/>
      </c>
      <c r="G128" s="75" t="str">
        <f t="shared" si="21"/>
        <v/>
      </c>
      <c r="H128" s="75" t="str">
        <f t="shared" si="22"/>
        <v/>
      </c>
      <c r="I128" s="75" t="str">
        <f t="shared" si="23"/>
        <v/>
      </c>
      <c r="J128" s="74" t="str">
        <f t="shared" ca="1" si="24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30"/>
        <v>input starter in column D</v>
      </c>
      <c r="Q128" s="5" t="str">
        <f t="shared" si="28"/>
        <v/>
      </c>
      <c r="R128" s="10">
        <v>3</v>
      </c>
      <c r="AJ128" s="33" t="str">
        <f t="shared" ca="1" si="18"/>
        <v>BEA</v>
      </c>
    </row>
    <row r="129" spans="1:36" ht="12.75">
      <c r="A129" s="6">
        <v>8.0500000000000007</v>
      </c>
      <c r="B129" s="33"/>
      <c r="C129" s="33" t="s">
        <v>44</v>
      </c>
      <c r="D129" s="74"/>
      <c r="E129" s="75" t="str">
        <f t="shared" si="19"/>
        <v/>
      </c>
      <c r="F129" s="75" t="str">
        <f t="shared" si="20"/>
        <v/>
      </c>
      <c r="G129" s="75" t="str">
        <f t="shared" si="21"/>
        <v/>
      </c>
      <c r="H129" s="75" t="str">
        <f t="shared" si="22"/>
        <v/>
      </c>
      <c r="I129" s="75" t="str">
        <f t="shared" si="23"/>
        <v/>
      </c>
      <c r="J129" s="74" t="str">
        <f t="shared" ca="1" si="24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30"/>
        <v>input starter in column D</v>
      </c>
      <c r="Q129" s="5" t="str">
        <f t="shared" si="28"/>
        <v/>
      </c>
      <c r="R129" s="10">
        <v>5</v>
      </c>
      <c r="AJ129" s="33" t="str">
        <f t="shared" ca="1" si="18"/>
        <v>BEA</v>
      </c>
    </row>
    <row r="130" spans="1:36" ht="12.75">
      <c r="A130" s="6">
        <v>8.06</v>
      </c>
      <c r="B130" s="33"/>
      <c r="C130" s="33" t="s">
        <v>44</v>
      </c>
      <c r="D130" s="74"/>
      <c r="E130" s="75" t="str">
        <f t="shared" si="19"/>
        <v/>
      </c>
      <c r="F130" s="75" t="str">
        <f t="shared" si="20"/>
        <v/>
      </c>
      <c r="G130" s="75" t="str">
        <f t="shared" si="21"/>
        <v/>
      </c>
      <c r="H130" s="75" t="str">
        <f t="shared" si="22"/>
        <v/>
      </c>
      <c r="I130" s="75" t="str">
        <f t="shared" si="23"/>
        <v/>
      </c>
      <c r="J130" s="74" t="str">
        <f t="shared" ca="1" si="24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30"/>
        <v>input starter in column D</v>
      </c>
      <c r="Q130" s="5" t="str">
        <f t="shared" si="28"/>
        <v/>
      </c>
      <c r="R130" s="10">
        <v>4</v>
      </c>
      <c r="AJ130" s="33" t="str">
        <f t="shared" ca="1" si="18"/>
        <v>BEA</v>
      </c>
    </row>
    <row r="131" spans="1:36" ht="12.75">
      <c r="A131" s="6">
        <v>8.07</v>
      </c>
      <c r="B131" s="33"/>
      <c r="C131" s="33" t="s">
        <v>44</v>
      </c>
      <c r="D131" s="74"/>
      <c r="E131" s="75" t="str">
        <f t="shared" si="19"/>
        <v/>
      </c>
      <c r="F131" s="75" t="str">
        <f t="shared" si="20"/>
        <v/>
      </c>
      <c r="G131" s="75" t="str">
        <f t="shared" si="21"/>
        <v/>
      </c>
      <c r="H131" s="75" t="str">
        <f t="shared" si="22"/>
        <v/>
      </c>
      <c r="I131" s="75" t="str">
        <f t="shared" si="23"/>
        <v/>
      </c>
      <c r="J131" s="74" t="str">
        <f t="shared" ca="1" si="24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30"/>
        <v>input starter in column D</v>
      </c>
      <c r="Q131" s="5" t="str">
        <f t="shared" si="28"/>
        <v/>
      </c>
      <c r="R131" s="10">
        <v>1</v>
      </c>
      <c r="AJ131" s="33" t="str">
        <f t="shared" ref="AJ131:AJ185" ca="1" si="31">IF(ISERROR((INDIRECT(""&amp;$C131&amp;"!c"&amp;ROW(C131)))),"",(INDIRECT(""&amp;$C131&amp;"!c"&amp;ROW(C131))))</f>
        <v>BEA</v>
      </c>
    </row>
    <row r="132" spans="1:36" ht="12.75">
      <c r="A132" s="6">
        <v>8.08</v>
      </c>
      <c r="B132" s="33"/>
      <c r="C132" s="33" t="s">
        <v>44</v>
      </c>
      <c r="D132" s="74"/>
      <c r="E132" s="75" t="str">
        <f t="shared" ref="E132:E185" si="32">IF(ISERROR((VLOOKUP($D132,$S$3:$AE$22,3,FALSE))),"",(VLOOKUP($D132,$S$3:$AE$22,3,FALSE)))</f>
        <v/>
      </c>
      <c r="F132" s="75" t="str">
        <f t="shared" ref="F132:F185" si="33">IF(ISERROR((VLOOKUP($D132,$S$3:$AE$22,5,FALSE))),"",(VLOOKUP($D132,$S$3:$AE$22,5,FALSE)))</f>
        <v/>
      </c>
      <c r="G132" s="75" t="str">
        <f t="shared" ref="G132:G185" si="34">IF(ISERROR((VLOOKUP($D132,$S$3:$AE$22,10,FALSE))),"",(VLOOKUP($D132,$S$3:$AE$22,10,FALSE)))</f>
        <v/>
      </c>
      <c r="H132" s="75" t="str">
        <f t="shared" ref="H132:H185" si="35">IF(ISERROR((VLOOKUP($D132,$S$3:$AE$22,11,FALSE))),"",(VLOOKUP($D132,$S$3:$AE$22,11,FALSE)))</f>
        <v/>
      </c>
      <c r="I132" s="75" t="str">
        <f t="shared" ref="I132:I185" si="36">IF(ISERROR((VLOOKUP($D132,$S$3:$AE$22,12,FALSE))),"",(VLOOKUP($D132,$S$3:$AE$22,12,FALSE)))</f>
        <v/>
      </c>
      <c r="J132" s="74" t="str">
        <f t="shared" ref="J132:J185" ca="1" si="37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30"/>
        <v>input starter in column D</v>
      </c>
      <c r="Q132" s="5" t="str">
        <f t="shared" si="28"/>
        <v/>
      </c>
      <c r="R132" s="10">
        <v>2</v>
      </c>
      <c r="AJ132" s="33" t="str">
        <f t="shared" ca="1" si="31"/>
        <v>BEA</v>
      </c>
    </row>
    <row r="133" spans="1:36" ht="12.75">
      <c r="A133" s="6">
        <v>8.09</v>
      </c>
      <c r="B133" s="33" t="s">
        <v>32</v>
      </c>
      <c r="C133" s="33" t="s">
        <v>1191</v>
      </c>
      <c r="D133" s="74"/>
      <c r="E133" s="75" t="str">
        <f t="shared" si="32"/>
        <v/>
      </c>
      <c r="F133" s="75" t="str">
        <f t="shared" si="33"/>
        <v/>
      </c>
      <c r="G133" s="75" t="str">
        <f t="shared" si="34"/>
        <v/>
      </c>
      <c r="H133" s="75" t="str">
        <f t="shared" si="35"/>
        <v/>
      </c>
      <c r="I133" s="75" t="str">
        <f t="shared" si="36"/>
        <v/>
      </c>
      <c r="J133" s="74" t="str">
        <f t="shared" ca="1" si="37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30"/>
        <v>input starter in column D</v>
      </c>
      <c r="Q133" s="5" t="str">
        <f t="shared" si="28"/>
        <v/>
      </c>
      <c r="R133" s="10">
        <v>3</v>
      </c>
      <c r="AJ133" s="33" t="str">
        <f t="shared" ca="1" si="31"/>
        <v>BEA</v>
      </c>
    </row>
    <row r="134" spans="1:36" ht="12.75">
      <c r="A134" s="6">
        <v>8.1</v>
      </c>
      <c r="B134" s="33" t="s">
        <v>32</v>
      </c>
      <c r="C134" s="33" t="s">
        <v>1191</v>
      </c>
      <c r="D134" s="74"/>
      <c r="E134" s="75" t="str">
        <f t="shared" si="32"/>
        <v/>
      </c>
      <c r="F134" s="75" t="str">
        <f t="shared" si="33"/>
        <v/>
      </c>
      <c r="G134" s="75" t="str">
        <f t="shared" si="34"/>
        <v/>
      </c>
      <c r="H134" s="75" t="str">
        <f t="shared" si="35"/>
        <v/>
      </c>
      <c r="I134" s="75" t="str">
        <f t="shared" si="36"/>
        <v/>
      </c>
      <c r="J134" s="74" t="str">
        <f t="shared" ca="1" si="37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30"/>
        <v>input starter in column D</v>
      </c>
      <c r="Q134" s="5" t="str">
        <f t="shared" si="28"/>
        <v/>
      </c>
      <c r="R134" s="10">
        <v>5</v>
      </c>
      <c r="AJ134" s="33" t="str">
        <f t="shared" ca="1" si="31"/>
        <v>BEA</v>
      </c>
    </row>
    <row r="135" spans="1:36" ht="12.75">
      <c r="A135" s="6">
        <v>8.11</v>
      </c>
      <c r="B135" s="33" t="s">
        <v>32</v>
      </c>
      <c r="C135" s="33" t="s">
        <v>1191</v>
      </c>
      <c r="D135" s="74"/>
      <c r="E135" s="75" t="str">
        <f t="shared" si="32"/>
        <v/>
      </c>
      <c r="F135" s="75" t="str">
        <f t="shared" si="33"/>
        <v/>
      </c>
      <c r="G135" s="75" t="str">
        <f t="shared" si="34"/>
        <v/>
      </c>
      <c r="H135" s="75" t="str">
        <f t="shared" si="35"/>
        <v/>
      </c>
      <c r="I135" s="75" t="str">
        <f t="shared" si="36"/>
        <v/>
      </c>
      <c r="J135" s="74" t="str">
        <f t="shared" ca="1" si="37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30"/>
        <v>input starter in column D</v>
      </c>
      <c r="Q135" s="5" t="str">
        <f t="shared" si="28"/>
        <v/>
      </c>
      <c r="R135" s="10">
        <v>4</v>
      </c>
      <c r="AJ135" s="33" t="str">
        <f t="shared" ca="1" si="31"/>
        <v>BEA</v>
      </c>
    </row>
    <row r="136" spans="1:36" ht="12.75">
      <c r="A136" s="6">
        <v>8.1199999999999992</v>
      </c>
      <c r="B136" s="33" t="s">
        <v>32</v>
      </c>
      <c r="C136" s="33" t="s">
        <v>1191</v>
      </c>
      <c r="D136" s="74"/>
      <c r="E136" s="75" t="str">
        <f t="shared" si="32"/>
        <v/>
      </c>
      <c r="F136" s="75" t="str">
        <f t="shared" si="33"/>
        <v/>
      </c>
      <c r="G136" s="75" t="str">
        <f t="shared" si="34"/>
        <v/>
      </c>
      <c r="H136" s="75" t="str">
        <f t="shared" si="35"/>
        <v/>
      </c>
      <c r="I136" s="75" t="str">
        <f t="shared" si="36"/>
        <v/>
      </c>
      <c r="J136" s="74" t="str">
        <f t="shared" ca="1" si="37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30"/>
        <v>input starter in column D</v>
      </c>
      <c r="Q136" s="5" t="str">
        <f t="shared" si="28"/>
        <v/>
      </c>
      <c r="R136" s="10">
        <v>1</v>
      </c>
      <c r="AJ136" s="33" t="str">
        <f t="shared" ca="1" si="31"/>
        <v>BEA</v>
      </c>
    </row>
    <row r="137" spans="1:36" ht="12.75">
      <c r="A137" s="6">
        <v>8.1300000000000008</v>
      </c>
      <c r="B137" s="33" t="s">
        <v>32</v>
      </c>
      <c r="C137" s="33" t="s">
        <v>45</v>
      </c>
      <c r="D137" s="74"/>
      <c r="E137" s="75" t="str">
        <f t="shared" si="32"/>
        <v/>
      </c>
      <c r="F137" s="75" t="str">
        <f t="shared" si="33"/>
        <v/>
      </c>
      <c r="G137" s="75" t="str">
        <f t="shared" si="34"/>
        <v/>
      </c>
      <c r="H137" s="75" t="str">
        <f t="shared" si="35"/>
        <v/>
      </c>
      <c r="I137" s="75" t="str">
        <f t="shared" si="36"/>
        <v/>
      </c>
      <c r="J137" s="74" t="str">
        <f t="shared" ca="1" si="37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30"/>
        <v>input starter in column D</v>
      </c>
      <c r="Q137" s="5" t="str">
        <f t="shared" si="28"/>
        <v/>
      </c>
      <c r="R137" s="10">
        <v>2</v>
      </c>
      <c r="AJ137" s="33" t="str">
        <f t="shared" ca="1" si="31"/>
        <v>BEA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1"/>
        <v/>
      </c>
    </row>
    <row r="139" spans="1:36" ht="12.75">
      <c r="A139" s="6">
        <v>8.15</v>
      </c>
      <c r="B139" s="33" t="s">
        <v>32</v>
      </c>
      <c r="C139" s="33" t="s">
        <v>45</v>
      </c>
      <c r="D139" s="74"/>
      <c r="E139" s="75" t="str">
        <f t="shared" si="32"/>
        <v/>
      </c>
      <c r="F139" s="75" t="str">
        <f t="shared" si="33"/>
        <v/>
      </c>
      <c r="G139" s="75" t="str">
        <f t="shared" si="34"/>
        <v/>
      </c>
      <c r="H139" s="75" t="str">
        <f t="shared" si="35"/>
        <v/>
      </c>
      <c r="I139" s="75" t="str">
        <f t="shared" si="36"/>
        <v/>
      </c>
      <c r="J139" s="74" t="str">
        <f t="shared" ca="1" si="37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8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8"/>
        <v/>
      </c>
      <c r="R139" s="10">
        <v>3</v>
      </c>
      <c r="AJ139" s="33" t="str">
        <f t="shared" ca="1" si="31"/>
        <v>BEA</v>
      </c>
    </row>
    <row r="140" spans="1:36" ht="12.75">
      <c r="A140" s="6">
        <v>8.16</v>
      </c>
      <c r="B140" s="33" t="s">
        <v>32</v>
      </c>
      <c r="C140" s="33" t="s">
        <v>45</v>
      </c>
      <c r="D140" s="74"/>
      <c r="E140" s="75" t="str">
        <f t="shared" si="32"/>
        <v/>
      </c>
      <c r="F140" s="75" t="str">
        <f t="shared" si="33"/>
        <v/>
      </c>
      <c r="G140" s="75" t="str">
        <f t="shared" si="34"/>
        <v/>
      </c>
      <c r="H140" s="75" t="str">
        <f t="shared" si="35"/>
        <v/>
      </c>
      <c r="I140" s="75" t="str">
        <f t="shared" si="36"/>
        <v/>
      </c>
      <c r="J140" s="74" t="str">
        <f t="shared" ca="1" si="37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8"/>
        <v>input starter in column D</v>
      </c>
      <c r="Q140" s="5" t="str">
        <f t="shared" si="28"/>
        <v/>
      </c>
      <c r="R140" s="10">
        <v>4</v>
      </c>
      <c r="AJ140" s="33" t="str">
        <f t="shared" ca="1" si="31"/>
        <v>BEA</v>
      </c>
    </row>
    <row r="141" spans="1:36" ht="12.75">
      <c r="A141" s="6">
        <v>8.17</v>
      </c>
      <c r="B141" s="33" t="s">
        <v>32</v>
      </c>
      <c r="C141" s="33" t="s">
        <v>45</v>
      </c>
      <c r="D141" s="74"/>
      <c r="E141" s="75" t="str">
        <f t="shared" si="32"/>
        <v/>
      </c>
      <c r="F141" s="75" t="str">
        <f t="shared" si="33"/>
        <v/>
      </c>
      <c r="G141" s="75" t="str">
        <f t="shared" si="34"/>
        <v/>
      </c>
      <c r="H141" s="75" t="str">
        <f t="shared" si="35"/>
        <v/>
      </c>
      <c r="I141" s="75" t="str">
        <f t="shared" si="36"/>
        <v/>
      </c>
      <c r="J141" s="74" t="str">
        <f t="shared" ca="1" si="37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8"/>
        <v>input starter in column D</v>
      </c>
      <c r="Q141" s="5" t="str">
        <f t="shared" si="28"/>
        <v/>
      </c>
      <c r="R141" s="10">
        <v>1</v>
      </c>
      <c r="AJ141" s="33" t="str">
        <f t="shared" ca="1" si="31"/>
        <v>BEA</v>
      </c>
    </row>
    <row r="142" spans="1:36" ht="12.75">
      <c r="A142" s="6">
        <v>8.18</v>
      </c>
      <c r="B142" s="33" t="s">
        <v>32</v>
      </c>
      <c r="C142" s="33" t="s">
        <v>48</v>
      </c>
      <c r="D142" s="74"/>
      <c r="E142" s="75" t="str">
        <f t="shared" si="32"/>
        <v/>
      </c>
      <c r="F142" s="75" t="str">
        <f t="shared" si="33"/>
        <v/>
      </c>
      <c r="G142" s="75" t="str">
        <f t="shared" si="34"/>
        <v/>
      </c>
      <c r="H142" s="75" t="str">
        <f t="shared" si="35"/>
        <v/>
      </c>
      <c r="I142" s="75" t="str">
        <f t="shared" si="36"/>
        <v/>
      </c>
      <c r="J142" s="74" t="str">
        <f t="shared" ca="1" si="37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8"/>
        <v>input starter in column D</v>
      </c>
      <c r="Q142" s="5" t="str">
        <f t="shared" si="28"/>
        <v/>
      </c>
      <c r="R142" s="10">
        <v>2</v>
      </c>
      <c r="AJ142" s="33" t="str">
        <f t="shared" ca="1" si="31"/>
        <v>BEA</v>
      </c>
    </row>
    <row r="143" spans="1:36" ht="12.75">
      <c r="A143" s="6">
        <v>8.19</v>
      </c>
      <c r="B143" s="33" t="s">
        <v>32</v>
      </c>
      <c r="C143" s="33" t="s">
        <v>48</v>
      </c>
      <c r="D143" s="74"/>
      <c r="E143" s="75" t="str">
        <f t="shared" si="32"/>
        <v/>
      </c>
      <c r="F143" s="75" t="str">
        <f t="shared" si="33"/>
        <v/>
      </c>
      <c r="G143" s="75" t="str">
        <f t="shared" si="34"/>
        <v/>
      </c>
      <c r="H143" s="75" t="str">
        <f t="shared" si="35"/>
        <v/>
      </c>
      <c r="I143" s="75" t="str">
        <f t="shared" si="36"/>
        <v/>
      </c>
      <c r="J143" s="74" t="str">
        <f t="shared" ca="1" si="37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8"/>
        <v>input starter in column D</v>
      </c>
      <c r="Q143" s="5" t="str">
        <f t="shared" si="28"/>
        <v/>
      </c>
      <c r="R143" s="10">
        <v>5</v>
      </c>
      <c r="AJ143" s="33" t="str">
        <f t="shared" ca="1" si="31"/>
        <v>BEA</v>
      </c>
    </row>
    <row r="144" spans="1:36" ht="12.75">
      <c r="A144" s="6">
        <v>8.1999999999999993</v>
      </c>
      <c r="B144" s="33" t="s">
        <v>32</v>
      </c>
      <c r="C144" s="33" t="s">
        <v>48</v>
      </c>
      <c r="D144" s="74"/>
      <c r="E144" s="75" t="str">
        <f t="shared" si="32"/>
        <v/>
      </c>
      <c r="F144" s="75" t="str">
        <f t="shared" si="33"/>
        <v/>
      </c>
      <c r="G144" s="75" t="str">
        <f t="shared" si="34"/>
        <v/>
      </c>
      <c r="H144" s="75" t="str">
        <f t="shared" si="35"/>
        <v/>
      </c>
      <c r="I144" s="75" t="str">
        <f t="shared" si="36"/>
        <v/>
      </c>
      <c r="J144" s="74" t="str">
        <f t="shared" ca="1" si="37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8"/>
        <v>input starter in column D</v>
      </c>
      <c r="Q144" s="5" t="str">
        <f t="shared" si="28"/>
        <v/>
      </c>
      <c r="R144" s="10">
        <v>3</v>
      </c>
      <c r="AJ144" s="33" t="str">
        <f t="shared" ca="1" si="31"/>
        <v>BEA</v>
      </c>
    </row>
    <row r="145" spans="1:36" ht="12.75">
      <c r="A145" s="6">
        <v>8.2100000000000009</v>
      </c>
      <c r="B145" s="33"/>
      <c r="C145" s="33" t="s">
        <v>13</v>
      </c>
      <c r="D145" s="74"/>
      <c r="E145" s="75" t="str">
        <f t="shared" si="32"/>
        <v/>
      </c>
      <c r="F145" s="75" t="str">
        <f t="shared" si="33"/>
        <v/>
      </c>
      <c r="G145" s="75" t="str">
        <f t="shared" si="34"/>
        <v/>
      </c>
      <c r="H145" s="75" t="str">
        <f t="shared" si="35"/>
        <v/>
      </c>
      <c r="I145" s="75" t="str">
        <f t="shared" si="36"/>
        <v/>
      </c>
      <c r="J145" s="74" t="str">
        <f t="shared" ca="1" si="37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8"/>
        <v>input starter in column D</v>
      </c>
      <c r="Q145" s="5" t="str">
        <f t="shared" si="28"/>
        <v/>
      </c>
      <c r="R145" s="10">
        <v>4</v>
      </c>
      <c r="AJ145" s="33" t="str">
        <f t="shared" ca="1" si="31"/>
        <v>BEA</v>
      </c>
    </row>
    <row r="146" spans="1:36" ht="12.75">
      <c r="A146" s="6">
        <v>8.2200000000000006</v>
      </c>
      <c r="B146" s="33"/>
      <c r="C146" s="33" t="s">
        <v>13</v>
      </c>
      <c r="D146" s="74"/>
      <c r="E146" s="75" t="str">
        <f t="shared" si="32"/>
        <v/>
      </c>
      <c r="F146" s="75" t="str">
        <f t="shared" si="33"/>
        <v/>
      </c>
      <c r="G146" s="75" t="str">
        <f t="shared" si="34"/>
        <v/>
      </c>
      <c r="H146" s="75" t="str">
        <f t="shared" si="35"/>
        <v/>
      </c>
      <c r="I146" s="75" t="str">
        <f t="shared" si="36"/>
        <v/>
      </c>
      <c r="J146" s="74" t="str">
        <f t="shared" ca="1" si="37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8"/>
        <v>input starter in column D</v>
      </c>
      <c r="Q146" s="5" t="str">
        <f t="shared" si="28"/>
        <v/>
      </c>
      <c r="R146" s="10">
        <v>1</v>
      </c>
      <c r="AJ146" s="33" t="str">
        <f t="shared" ca="1" si="31"/>
        <v>BEA</v>
      </c>
    </row>
    <row r="147" spans="1:36" ht="12.75">
      <c r="A147" s="6">
        <v>8.23</v>
      </c>
      <c r="B147" s="33"/>
      <c r="C147" s="33" t="s">
        <v>13</v>
      </c>
      <c r="D147" s="74"/>
      <c r="E147" s="75" t="str">
        <f t="shared" si="32"/>
        <v/>
      </c>
      <c r="F147" s="75" t="str">
        <f t="shared" si="33"/>
        <v/>
      </c>
      <c r="G147" s="75" t="str">
        <f t="shared" si="34"/>
        <v/>
      </c>
      <c r="H147" s="75" t="str">
        <f t="shared" si="35"/>
        <v/>
      </c>
      <c r="I147" s="75" t="str">
        <f t="shared" si="36"/>
        <v/>
      </c>
      <c r="J147" s="74" t="str">
        <f t="shared" ca="1" si="37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8"/>
        <v>input starter in column D</v>
      </c>
      <c r="Q147" s="5" t="str">
        <f t="shared" si="28"/>
        <v/>
      </c>
      <c r="R147" s="14">
        <v>2</v>
      </c>
      <c r="AJ147" s="33" t="str">
        <f t="shared" ca="1" si="31"/>
        <v>BEA</v>
      </c>
    </row>
    <row r="148" spans="1:36" ht="12.75">
      <c r="A148" s="6">
        <v>8.24</v>
      </c>
      <c r="B148" s="33"/>
      <c r="C148" s="33" t="s">
        <v>13</v>
      </c>
      <c r="D148" s="74"/>
      <c r="E148" s="75" t="str">
        <f t="shared" si="32"/>
        <v/>
      </c>
      <c r="F148" s="75" t="str">
        <f t="shared" si="33"/>
        <v/>
      </c>
      <c r="G148" s="75" t="str">
        <f t="shared" si="34"/>
        <v/>
      </c>
      <c r="H148" s="75" t="str">
        <f t="shared" si="35"/>
        <v/>
      </c>
      <c r="I148" s="75" t="str">
        <f t="shared" si="36"/>
        <v/>
      </c>
      <c r="J148" s="74" t="str">
        <f t="shared" ca="1" si="37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8"/>
        <v>input starter in column D</v>
      </c>
      <c r="Q148" s="5" t="str">
        <f t="shared" si="28"/>
        <v/>
      </c>
      <c r="R148" s="14">
        <v>5</v>
      </c>
      <c r="AJ148" s="33" t="str">
        <f t="shared" ca="1" si="31"/>
        <v>BEA</v>
      </c>
    </row>
    <row r="149" spans="1:36" ht="12.75">
      <c r="A149" s="6">
        <v>8.25</v>
      </c>
      <c r="B149" s="33"/>
      <c r="C149" s="33" t="s">
        <v>15</v>
      </c>
      <c r="D149" s="74"/>
      <c r="E149" s="75" t="str">
        <f t="shared" si="32"/>
        <v/>
      </c>
      <c r="F149" s="75" t="str">
        <f t="shared" si="33"/>
        <v/>
      </c>
      <c r="G149" s="75" t="str">
        <f t="shared" si="34"/>
        <v/>
      </c>
      <c r="H149" s="75" t="str">
        <f t="shared" si="35"/>
        <v/>
      </c>
      <c r="I149" s="75" t="str">
        <f t="shared" si="36"/>
        <v/>
      </c>
      <c r="J149" s="74" t="str">
        <f t="shared" ca="1" si="37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8"/>
        <v>input starter in column D</v>
      </c>
      <c r="Q149" s="5" t="str">
        <f t="shared" si="28"/>
        <v/>
      </c>
      <c r="R149" s="14">
        <v>3</v>
      </c>
      <c r="AJ149" s="33" t="str">
        <f t="shared" ca="1" si="31"/>
        <v>BEA</v>
      </c>
    </row>
    <row r="150" spans="1:36" ht="12.75">
      <c r="A150" s="6">
        <v>8.26</v>
      </c>
      <c r="B150" s="33"/>
      <c r="C150" s="33" t="s">
        <v>15</v>
      </c>
      <c r="D150" s="74"/>
      <c r="E150" s="75" t="str">
        <f t="shared" si="32"/>
        <v/>
      </c>
      <c r="F150" s="75" t="str">
        <f t="shared" si="33"/>
        <v/>
      </c>
      <c r="G150" s="75" t="str">
        <f t="shared" si="34"/>
        <v/>
      </c>
      <c r="H150" s="75" t="str">
        <f t="shared" si="35"/>
        <v/>
      </c>
      <c r="I150" s="75" t="str">
        <f t="shared" si="36"/>
        <v/>
      </c>
      <c r="J150" s="74" t="str">
        <f t="shared" ca="1" si="37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8"/>
        <v>input starter in column D</v>
      </c>
      <c r="Q150" s="5" t="str">
        <f t="shared" si="28"/>
        <v/>
      </c>
      <c r="R150" s="14">
        <v>4</v>
      </c>
      <c r="AJ150" s="33" t="str">
        <f t="shared" ca="1" si="31"/>
        <v>BEA</v>
      </c>
    </row>
    <row r="151" spans="1:36" ht="12.75">
      <c r="A151" s="6">
        <v>8.27</v>
      </c>
      <c r="B151" s="33"/>
      <c r="C151" s="33" t="s">
        <v>15</v>
      </c>
      <c r="D151" s="74"/>
      <c r="E151" s="75" t="str">
        <f t="shared" si="32"/>
        <v/>
      </c>
      <c r="F151" s="75" t="str">
        <f t="shared" si="33"/>
        <v/>
      </c>
      <c r="G151" s="75" t="str">
        <f t="shared" si="34"/>
        <v/>
      </c>
      <c r="H151" s="75" t="str">
        <f t="shared" si="35"/>
        <v/>
      </c>
      <c r="I151" s="75" t="str">
        <f t="shared" si="36"/>
        <v/>
      </c>
      <c r="J151" s="74" t="str">
        <f t="shared" ca="1" si="37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8"/>
        <v>input starter in column D</v>
      </c>
      <c r="Q151" s="5" t="str">
        <f t="shared" si="28"/>
        <v/>
      </c>
      <c r="R151" s="14">
        <v>1</v>
      </c>
      <c r="AJ151" s="33" t="str">
        <f t="shared" ca="1" si="31"/>
        <v>BEA</v>
      </c>
    </row>
    <row r="152" spans="1:36" ht="12.75">
      <c r="A152" s="6">
        <v>8.2799999999999994</v>
      </c>
      <c r="B152" s="33"/>
      <c r="C152" s="33" t="s">
        <v>15</v>
      </c>
      <c r="D152" s="74"/>
      <c r="E152" s="75" t="str">
        <f t="shared" si="32"/>
        <v/>
      </c>
      <c r="F152" s="75" t="str">
        <f t="shared" si="33"/>
        <v/>
      </c>
      <c r="G152" s="75" t="str">
        <f t="shared" si="34"/>
        <v/>
      </c>
      <c r="H152" s="75" t="str">
        <f t="shared" si="35"/>
        <v/>
      </c>
      <c r="I152" s="75" t="str">
        <f t="shared" si="36"/>
        <v/>
      </c>
      <c r="J152" s="74" t="str">
        <f t="shared" ca="1" si="37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8"/>
        <v>input starter in column D</v>
      </c>
      <c r="Q152" s="5" t="str">
        <f t="shared" si="28"/>
        <v/>
      </c>
      <c r="R152" s="14">
        <v>2</v>
      </c>
      <c r="AJ152" s="33" t="str">
        <f t="shared" ca="1" si="31"/>
        <v>BEA</v>
      </c>
    </row>
    <row r="153" spans="1:36" ht="12.75">
      <c r="A153" s="6">
        <v>8.2899999999999991</v>
      </c>
      <c r="B153" s="32" t="s">
        <v>32</v>
      </c>
      <c r="C153" s="33" t="s">
        <v>53</v>
      </c>
      <c r="D153" s="74"/>
      <c r="E153" s="75" t="str">
        <f t="shared" si="32"/>
        <v/>
      </c>
      <c r="F153" s="75" t="str">
        <f t="shared" si="33"/>
        <v/>
      </c>
      <c r="G153" s="75" t="str">
        <f t="shared" si="34"/>
        <v/>
      </c>
      <c r="H153" s="75" t="str">
        <f t="shared" si="35"/>
        <v/>
      </c>
      <c r="I153" s="75" t="str">
        <f t="shared" si="36"/>
        <v/>
      </c>
      <c r="J153" s="74" t="str">
        <f t="shared" ca="1" si="37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8"/>
        <v>input starter in column D</v>
      </c>
      <c r="Q153" s="5" t="str">
        <f t="shared" si="28"/>
        <v/>
      </c>
      <c r="R153" s="14">
        <v>5</v>
      </c>
      <c r="AJ153" s="33" t="str">
        <f t="shared" ca="1" si="31"/>
        <v>BEA</v>
      </c>
    </row>
    <row r="154" spans="1:36" ht="12.75">
      <c r="A154" s="6">
        <v>8.3000000000000007</v>
      </c>
      <c r="B154" s="32" t="s">
        <v>32</v>
      </c>
      <c r="C154" s="33" t="s">
        <v>53</v>
      </c>
      <c r="D154" s="74"/>
      <c r="E154" s="75" t="str">
        <f t="shared" si="32"/>
        <v/>
      </c>
      <c r="F154" s="75" t="str">
        <f t="shared" si="33"/>
        <v/>
      </c>
      <c r="G154" s="75" t="str">
        <f t="shared" si="34"/>
        <v/>
      </c>
      <c r="H154" s="75" t="str">
        <f t="shared" si="35"/>
        <v/>
      </c>
      <c r="I154" s="75" t="str">
        <f t="shared" si="36"/>
        <v/>
      </c>
      <c r="J154" s="74" t="str">
        <f t="shared" ca="1" si="37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8"/>
        <v>input starter in column D</v>
      </c>
      <c r="Q154" s="5" t="str">
        <f t="shared" si="28"/>
        <v/>
      </c>
      <c r="R154" s="14">
        <v>3</v>
      </c>
      <c r="AJ154" s="33" t="str">
        <f t="shared" ca="1" si="31"/>
        <v>BEA</v>
      </c>
    </row>
    <row r="155" spans="1:36" ht="12.75">
      <c r="A155" s="6">
        <v>8.31</v>
      </c>
      <c r="B155" s="32" t="s">
        <v>32</v>
      </c>
      <c r="C155" s="33" t="s">
        <v>53</v>
      </c>
      <c r="D155" s="74"/>
      <c r="E155" s="75" t="str">
        <f t="shared" si="32"/>
        <v/>
      </c>
      <c r="F155" s="75" t="str">
        <f t="shared" si="33"/>
        <v/>
      </c>
      <c r="G155" s="75" t="str">
        <f t="shared" si="34"/>
        <v/>
      </c>
      <c r="H155" s="75" t="str">
        <f t="shared" si="35"/>
        <v/>
      </c>
      <c r="I155" s="75" t="str">
        <f t="shared" si="36"/>
        <v/>
      </c>
      <c r="J155" s="74" t="str">
        <f t="shared" ca="1" si="37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8"/>
        <v>input starter in column D</v>
      </c>
      <c r="Q155" s="5" t="str">
        <f t="shared" si="28"/>
        <v/>
      </c>
      <c r="R155" s="14">
        <v>4</v>
      </c>
      <c r="AJ155" s="33" t="str">
        <f t="shared" ca="1" si="31"/>
        <v>BEA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1"/>
        <v/>
      </c>
    </row>
    <row r="157" spans="1:36" ht="12.75">
      <c r="A157" s="6">
        <v>9.02</v>
      </c>
      <c r="B157" s="33"/>
      <c r="C157" s="33" t="s">
        <v>47</v>
      </c>
      <c r="D157" s="74"/>
      <c r="E157" s="75" t="str">
        <f t="shared" si="32"/>
        <v/>
      </c>
      <c r="F157" s="75" t="str">
        <f t="shared" si="33"/>
        <v/>
      </c>
      <c r="G157" s="75" t="str">
        <f t="shared" si="34"/>
        <v/>
      </c>
      <c r="H157" s="75" t="str">
        <f t="shared" si="35"/>
        <v/>
      </c>
      <c r="I157" s="75" t="str">
        <f t="shared" si="36"/>
        <v/>
      </c>
      <c r="J157" s="74" t="str">
        <f t="shared" ca="1" si="37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9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8"/>
        <v/>
      </c>
      <c r="R157" s="10">
        <v>1</v>
      </c>
      <c r="AJ157" s="33" t="str">
        <f t="shared" ca="1" si="31"/>
        <v>BEA</v>
      </c>
    </row>
    <row r="158" spans="1:36" ht="12.75">
      <c r="A158" s="6">
        <v>9.0299999999999994</v>
      </c>
      <c r="B158" s="33"/>
      <c r="C158" s="33" t="s">
        <v>47</v>
      </c>
      <c r="D158" s="74"/>
      <c r="E158" s="75" t="str">
        <f t="shared" si="32"/>
        <v/>
      </c>
      <c r="F158" s="75" t="str">
        <f t="shared" si="33"/>
        <v/>
      </c>
      <c r="G158" s="75" t="str">
        <f t="shared" si="34"/>
        <v/>
      </c>
      <c r="H158" s="75" t="str">
        <f t="shared" si="35"/>
        <v/>
      </c>
      <c r="I158" s="75" t="str">
        <f t="shared" si="36"/>
        <v/>
      </c>
      <c r="J158" s="74" t="str">
        <f t="shared" ca="1" si="37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9"/>
        <v>input starter in column D</v>
      </c>
      <c r="Q158" s="5" t="str">
        <f t="shared" si="28"/>
        <v/>
      </c>
      <c r="R158" s="10">
        <v>2</v>
      </c>
      <c r="AJ158" s="33" t="str">
        <f t="shared" ca="1" si="31"/>
        <v>BEA</v>
      </c>
    </row>
    <row r="159" spans="1:36" ht="12.75">
      <c r="A159" s="6">
        <v>9.0399999999999991</v>
      </c>
      <c r="B159" s="33"/>
      <c r="C159" s="33" t="s">
        <v>47</v>
      </c>
      <c r="D159" s="74"/>
      <c r="E159" s="75" t="str">
        <f t="shared" si="32"/>
        <v/>
      </c>
      <c r="F159" s="75" t="str">
        <f t="shared" si="33"/>
        <v/>
      </c>
      <c r="G159" s="75" t="str">
        <f t="shared" si="34"/>
        <v/>
      </c>
      <c r="H159" s="75" t="str">
        <f t="shared" si="35"/>
        <v/>
      </c>
      <c r="I159" s="75" t="str">
        <f t="shared" si="36"/>
        <v/>
      </c>
      <c r="J159" s="74" t="str">
        <f t="shared" ca="1" si="37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9"/>
        <v>input starter in column D</v>
      </c>
      <c r="Q159" s="5" t="str">
        <f t="shared" si="28"/>
        <v/>
      </c>
      <c r="R159" s="10">
        <v>3</v>
      </c>
      <c r="AJ159" s="33" t="str">
        <f t="shared" ca="1" si="31"/>
        <v>BEA</v>
      </c>
    </row>
    <row r="160" spans="1:36" ht="12.75">
      <c r="A160" s="6">
        <v>9.0500000000000007</v>
      </c>
      <c r="B160" s="33"/>
      <c r="C160" s="33" t="s">
        <v>56</v>
      </c>
      <c r="D160" s="74"/>
      <c r="E160" s="75" t="str">
        <f t="shared" si="32"/>
        <v/>
      </c>
      <c r="F160" s="75" t="str">
        <f t="shared" si="33"/>
        <v/>
      </c>
      <c r="G160" s="75" t="str">
        <f t="shared" si="34"/>
        <v/>
      </c>
      <c r="H160" s="75" t="str">
        <f t="shared" si="35"/>
        <v/>
      </c>
      <c r="I160" s="75" t="str">
        <f t="shared" si="36"/>
        <v/>
      </c>
      <c r="J160" s="74" t="str">
        <f t="shared" ca="1" si="37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9"/>
        <v>input starter in column D</v>
      </c>
      <c r="Q160" s="5" t="str">
        <f t="shared" si="28"/>
        <v/>
      </c>
      <c r="R160" s="10">
        <v>4</v>
      </c>
      <c r="AJ160" s="33" t="str">
        <f t="shared" ca="1" si="31"/>
        <v>BEA</v>
      </c>
    </row>
    <row r="161" spans="1:36" ht="12.75">
      <c r="A161" s="6">
        <v>9.06</v>
      </c>
      <c r="B161" s="33"/>
      <c r="C161" s="33" t="s">
        <v>56</v>
      </c>
      <c r="D161" s="74"/>
      <c r="E161" s="75" t="str">
        <f t="shared" si="32"/>
        <v/>
      </c>
      <c r="F161" s="75" t="str">
        <f t="shared" si="33"/>
        <v/>
      </c>
      <c r="G161" s="75" t="str">
        <f t="shared" si="34"/>
        <v/>
      </c>
      <c r="H161" s="75" t="str">
        <f t="shared" si="35"/>
        <v/>
      </c>
      <c r="I161" s="75" t="str">
        <f t="shared" si="36"/>
        <v/>
      </c>
      <c r="J161" s="74" t="str">
        <f t="shared" ca="1" si="37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9"/>
        <v>input starter in column D</v>
      </c>
      <c r="Q161" s="5" t="str">
        <f t="shared" ref="Q161:Q185" si="40">IF(P161="not enough rest","input a DIFFERENT starter in column C","")</f>
        <v/>
      </c>
      <c r="R161" s="10">
        <v>5</v>
      </c>
      <c r="AJ161" s="33" t="str">
        <f t="shared" ca="1" si="31"/>
        <v>BEA</v>
      </c>
    </row>
    <row r="162" spans="1:36" ht="12.75">
      <c r="A162" s="6">
        <v>9.07</v>
      </c>
      <c r="B162" s="33"/>
      <c r="C162" s="33" t="s">
        <v>56</v>
      </c>
      <c r="D162" s="74"/>
      <c r="E162" s="75" t="str">
        <f t="shared" si="32"/>
        <v/>
      </c>
      <c r="F162" s="75" t="str">
        <f t="shared" si="33"/>
        <v/>
      </c>
      <c r="G162" s="75" t="str">
        <f t="shared" si="34"/>
        <v/>
      </c>
      <c r="H162" s="75" t="str">
        <f t="shared" si="35"/>
        <v/>
      </c>
      <c r="I162" s="75" t="str">
        <f t="shared" si="36"/>
        <v/>
      </c>
      <c r="J162" s="74" t="str">
        <f t="shared" ca="1" si="37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9"/>
        <v>input starter in column D</v>
      </c>
      <c r="Q162" s="5" t="str">
        <f t="shared" si="40"/>
        <v/>
      </c>
      <c r="R162" s="10">
        <v>1</v>
      </c>
      <c r="AJ162" s="33" t="str">
        <f t="shared" ca="1" si="31"/>
        <v>BEA</v>
      </c>
    </row>
    <row r="163" spans="1:36" ht="12.75">
      <c r="A163" s="6">
        <v>9.08</v>
      </c>
      <c r="B163" s="33"/>
      <c r="C163" s="33" t="s">
        <v>16</v>
      </c>
      <c r="D163" s="74"/>
      <c r="E163" s="75" t="str">
        <f t="shared" si="32"/>
        <v/>
      </c>
      <c r="F163" s="75" t="str">
        <f t="shared" si="33"/>
        <v/>
      </c>
      <c r="G163" s="75" t="str">
        <f t="shared" si="34"/>
        <v/>
      </c>
      <c r="H163" s="75" t="str">
        <f t="shared" si="35"/>
        <v/>
      </c>
      <c r="I163" s="75" t="str">
        <f t="shared" si="36"/>
        <v/>
      </c>
      <c r="J163" s="74" t="str">
        <f t="shared" ca="1" si="37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9"/>
        <v>input starter in column D</v>
      </c>
      <c r="Q163" s="5" t="str">
        <f t="shared" si="40"/>
        <v/>
      </c>
      <c r="R163" s="10">
        <v>2</v>
      </c>
      <c r="AJ163" s="33" t="str">
        <f t="shared" ca="1" si="31"/>
        <v>BEA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1"/>
        <v/>
      </c>
    </row>
    <row r="165" spans="1:36" ht="12.75">
      <c r="A165" s="6">
        <v>9.1</v>
      </c>
      <c r="B165" s="33"/>
      <c r="C165" s="33" t="s">
        <v>16</v>
      </c>
      <c r="D165" s="74"/>
      <c r="E165" s="75" t="str">
        <f t="shared" si="32"/>
        <v/>
      </c>
      <c r="F165" s="75" t="str">
        <f t="shared" si="33"/>
        <v/>
      </c>
      <c r="G165" s="75" t="str">
        <f t="shared" si="34"/>
        <v/>
      </c>
      <c r="H165" s="75" t="str">
        <f t="shared" si="35"/>
        <v/>
      </c>
      <c r="I165" s="75" t="str">
        <f t="shared" si="36"/>
        <v/>
      </c>
      <c r="J165" s="74" t="str">
        <f t="shared" ca="1" si="37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1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40"/>
        <v/>
      </c>
      <c r="R165" s="10">
        <v>3</v>
      </c>
      <c r="AJ165" s="33" t="str">
        <f t="shared" ca="1" si="31"/>
        <v>BEA</v>
      </c>
    </row>
    <row r="166" spans="1:36" ht="12.75">
      <c r="A166" s="6">
        <v>9.11</v>
      </c>
      <c r="B166" s="33"/>
      <c r="C166" s="33" t="s">
        <v>16</v>
      </c>
      <c r="D166" s="74"/>
      <c r="E166" s="75" t="str">
        <f t="shared" si="32"/>
        <v/>
      </c>
      <c r="F166" s="75" t="str">
        <f t="shared" si="33"/>
        <v/>
      </c>
      <c r="G166" s="75" t="str">
        <f t="shared" si="34"/>
        <v/>
      </c>
      <c r="H166" s="75" t="str">
        <f t="shared" si="35"/>
        <v/>
      </c>
      <c r="I166" s="75" t="str">
        <f t="shared" si="36"/>
        <v/>
      </c>
      <c r="J166" s="74" t="str">
        <f t="shared" ca="1" si="37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1"/>
        <v>input starter in column D</v>
      </c>
      <c r="Q166" s="5" t="str">
        <f t="shared" si="40"/>
        <v/>
      </c>
      <c r="R166" s="10">
        <v>4</v>
      </c>
      <c r="AJ166" s="33" t="str">
        <f t="shared" ca="1" si="31"/>
        <v>BEA</v>
      </c>
    </row>
    <row r="167" spans="1:36" ht="12.75">
      <c r="A167" s="6">
        <v>9.1199999999999992</v>
      </c>
      <c r="B167" s="33" t="s">
        <v>32</v>
      </c>
      <c r="C167" s="33" t="s">
        <v>43</v>
      </c>
      <c r="D167" s="74"/>
      <c r="E167" s="75" t="str">
        <f t="shared" si="32"/>
        <v/>
      </c>
      <c r="F167" s="75" t="str">
        <f t="shared" si="33"/>
        <v/>
      </c>
      <c r="G167" s="75" t="str">
        <f t="shared" si="34"/>
        <v/>
      </c>
      <c r="H167" s="75" t="str">
        <f t="shared" si="35"/>
        <v/>
      </c>
      <c r="I167" s="75" t="str">
        <f t="shared" si="36"/>
        <v/>
      </c>
      <c r="J167" s="74" t="str">
        <f t="shared" ca="1" si="37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1"/>
        <v>input starter in column D</v>
      </c>
      <c r="Q167" s="5" t="str">
        <f t="shared" si="40"/>
        <v/>
      </c>
      <c r="R167" s="10">
        <v>1</v>
      </c>
      <c r="AJ167" s="33" t="str">
        <f t="shared" ca="1" si="31"/>
        <v>BEA</v>
      </c>
    </row>
    <row r="168" spans="1:36" ht="12.75">
      <c r="A168" s="6">
        <v>9.1300000000000008</v>
      </c>
      <c r="B168" s="33" t="s">
        <v>32</v>
      </c>
      <c r="C168" s="33" t="s">
        <v>43</v>
      </c>
      <c r="D168" s="74"/>
      <c r="E168" s="75" t="str">
        <f t="shared" si="32"/>
        <v/>
      </c>
      <c r="F168" s="75" t="str">
        <f t="shared" si="33"/>
        <v/>
      </c>
      <c r="G168" s="75" t="str">
        <f t="shared" si="34"/>
        <v/>
      </c>
      <c r="H168" s="75" t="str">
        <f t="shared" si="35"/>
        <v/>
      </c>
      <c r="I168" s="75" t="str">
        <f t="shared" si="36"/>
        <v/>
      </c>
      <c r="J168" s="74" t="str">
        <f t="shared" ca="1" si="37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1"/>
        <v>input starter in column D</v>
      </c>
      <c r="Q168" s="5" t="str">
        <f t="shared" si="40"/>
        <v/>
      </c>
      <c r="R168" s="10">
        <v>2</v>
      </c>
      <c r="AJ168" s="33" t="str">
        <f t="shared" ca="1" si="31"/>
        <v>BEA</v>
      </c>
    </row>
    <row r="169" spans="1:36" ht="12.75">
      <c r="A169" s="6">
        <v>9.14</v>
      </c>
      <c r="B169" s="33" t="s">
        <v>32</v>
      </c>
      <c r="C169" s="33" t="s">
        <v>43</v>
      </c>
      <c r="D169" s="74"/>
      <c r="E169" s="75" t="str">
        <f t="shared" si="32"/>
        <v/>
      </c>
      <c r="F169" s="75" t="str">
        <f t="shared" si="33"/>
        <v/>
      </c>
      <c r="G169" s="75" t="str">
        <f t="shared" si="34"/>
        <v/>
      </c>
      <c r="H169" s="75" t="str">
        <f t="shared" si="35"/>
        <v/>
      </c>
      <c r="I169" s="75" t="str">
        <f t="shared" si="36"/>
        <v/>
      </c>
      <c r="J169" s="74" t="str">
        <f t="shared" ca="1" si="37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1"/>
        <v>input starter in column D</v>
      </c>
      <c r="Q169" s="5" t="str">
        <f t="shared" si="40"/>
        <v/>
      </c>
      <c r="R169" s="10">
        <v>5</v>
      </c>
      <c r="AJ169" s="33" t="str">
        <f t="shared" ca="1" si="31"/>
        <v>BEA</v>
      </c>
    </row>
    <row r="170" spans="1:36" ht="12.75">
      <c r="A170" s="6">
        <v>9.15</v>
      </c>
      <c r="B170" s="33" t="s">
        <v>32</v>
      </c>
      <c r="C170" s="33" t="s">
        <v>43</v>
      </c>
      <c r="D170" s="74"/>
      <c r="E170" s="75" t="str">
        <f t="shared" si="32"/>
        <v/>
      </c>
      <c r="F170" s="75" t="str">
        <f t="shared" si="33"/>
        <v/>
      </c>
      <c r="G170" s="75" t="str">
        <f t="shared" si="34"/>
        <v/>
      </c>
      <c r="H170" s="75" t="str">
        <f t="shared" si="35"/>
        <v/>
      </c>
      <c r="I170" s="75" t="str">
        <f t="shared" si="36"/>
        <v/>
      </c>
      <c r="J170" s="74" t="str">
        <f t="shared" ca="1" si="37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1"/>
        <v>input starter in column D</v>
      </c>
      <c r="Q170" s="5" t="str">
        <f t="shared" si="40"/>
        <v/>
      </c>
      <c r="R170" s="10">
        <v>3</v>
      </c>
      <c r="AJ170" s="33" t="str">
        <f t="shared" ca="1" si="31"/>
        <v>BEA</v>
      </c>
    </row>
    <row r="171" spans="1:36" ht="12.75">
      <c r="A171" s="6">
        <v>9.16</v>
      </c>
      <c r="B171" s="32" t="s">
        <v>32</v>
      </c>
      <c r="C171" s="33" t="s">
        <v>34</v>
      </c>
      <c r="D171" s="74"/>
      <c r="E171" s="75" t="str">
        <f t="shared" si="32"/>
        <v/>
      </c>
      <c r="F171" s="75" t="str">
        <f t="shared" si="33"/>
        <v/>
      </c>
      <c r="G171" s="75" t="str">
        <f t="shared" si="34"/>
        <v/>
      </c>
      <c r="H171" s="75" t="str">
        <f t="shared" si="35"/>
        <v/>
      </c>
      <c r="I171" s="75" t="str">
        <f t="shared" si="36"/>
        <v/>
      </c>
      <c r="J171" s="74" t="str">
        <f t="shared" ca="1" si="37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1"/>
        <v>input starter in column D</v>
      </c>
      <c r="Q171" s="5" t="str">
        <f t="shared" si="40"/>
        <v/>
      </c>
      <c r="R171" s="10">
        <v>4</v>
      </c>
      <c r="AJ171" s="33" t="str">
        <f t="shared" ca="1" si="31"/>
        <v>BEA</v>
      </c>
    </row>
    <row r="172" spans="1:36" ht="12.75">
      <c r="A172" s="6">
        <v>9.17</v>
      </c>
      <c r="B172" s="32" t="s">
        <v>32</v>
      </c>
      <c r="C172" s="33" t="s">
        <v>34</v>
      </c>
      <c r="D172" s="74"/>
      <c r="E172" s="75" t="str">
        <f t="shared" si="32"/>
        <v/>
      </c>
      <c r="F172" s="75" t="str">
        <f t="shared" si="33"/>
        <v/>
      </c>
      <c r="G172" s="75" t="str">
        <f t="shared" si="34"/>
        <v/>
      </c>
      <c r="H172" s="75" t="str">
        <f t="shared" si="35"/>
        <v/>
      </c>
      <c r="I172" s="75" t="str">
        <f t="shared" si="36"/>
        <v/>
      </c>
      <c r="J172" s="74" t="str">
        <f t="shared" ca="1" si="37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1"/>
        <v>input starter in column D</v>
      </c>
      <c r="Q172" s="5" t="str">
        <f t="shared" si="40"/>
        <v/>
      </c>
      <c r="R172" s="10">
        <v>1</v>
      </c>
      <c r="AJ172" s="33" t="str">
        <f t="shared" ca="1" si="31"/>
        <v>BEA</v>
      </c>
    </row>
    <row r="173" spans="1:36" ht="12.75">
      <c r="A173" s="6">
        <v>9.18</v>
      </c>
      <c r="B173" s="32" t="s">
        <v>32</v>
      </c>
      <c r="C173" s="33" t="s">
        <v>34</v>
      </c>
      <c r="D173" s="74"/>
      <c r="E173" s="75" t="str">
        <f t="shared" si="32"/>
        <v/>
      </c>
      <c r="F173" s="75" t="str">
        <f t="shared" si="33"/>
        <v/>
      </c>
      <c r="G173" s="75" t="str">
        <f t="shared" si="34"/>
        <v/>
      </c>
      <c r="H173" s="75" t="str">
        <f t="shared" si="35"/>
        <v/>
      </c>
      <c r="I173" s="75" t="str">
        <f t="shared" si="36"/>
        <v/>
      </c>
      <c r="J173" s="74" t="str">
        <f t="shared" ca="1" si="37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1"/>
        <v>input starter in column D</v>
      </c>
      <c r="Q173" s="5" t="str">
        <f t="shared" si="40"/>
        <v/>
      </c>
      <c r="R173" s="10">
        <v>2</v>
      </c>
      <c r="AJ173" s="33" t="str">
        <f t="shared" ca="1" si="31"/>
        <v>BEA</v>
      </c>
    </row>
    <row r="174" spans="1:36" ht="12.75">
      <c r="A174" s="6">
        <v>9.19</v>
      </c>
      <c r="B174" s="32" t="s">
        <v>32</v>
      </c>
      <c r="C174" s="33" t="s">
        <v>35</v>
      </c>
      <c r="D174" s="74"/>
      <c r="E174" s="75" t="str">
        <f t="shared" si="32"/>
        <v/>
      </c>
      <c r="F174" s="75" t="str">
        <f t="shared" si="33"/>
        <v/>
      </c>
      <c r="G174" s="75" t="str">
        <f t="shared" si="34"/>
        <v/>
      </c>
      <c r="H174" s="75" t="str">
        <f t="shared" si="35"/>
        <v/>
      </c>
      <c r="I174" s="75" t="str">
        <f t="shared" si="36"/>
        <v/>
      </c>
      <c r="J174" s="74" t="str">
        <f t="shared" ca="1" si="37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1"/>
        <v>input starter in column D</v>
      </c>
      <c r="Q174" s="5" t="str">
        <f t="shared" si="40"/>
        <v/>
      </c>
      <c r="R174" s="10">
        <v>5</v>
      </c>
      <c r="AJ174" s="33" t="str">
        <f t="shared" ca="1" si="31"/>
        <v>BEA</v>
      </c>
    </row>
    <row r="175" spans="1:36" ht="12.75">
      <c r="A175" s="6">
        <v>9.1999999999999993</v>
      </c>
      <c r="B175" s="32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1"/>
        <v/>
      </c>
    </row>
    <row r="176" spans="1:36" ht="12.75">
      <c r="A176" s="6">
        <v>9.2100000000000009</v>
      </c>
      <c r="B176" s="32" t="s">
        <v>32</v>
      </c>
      <c r="C176" s="33" t="s">
        <v>35</v>
      </c>
      <c r="D176" s="74"/>
      <c r="E176" s="75" t="str">
        <f t="shared" si="32"/>
        <v/>
      </c>
      <c r="F176" s="75" t="str">
        <f t="shared" si="33"/>
        <v/>
      </c>
      <c r="G176" s="75" t="str">
        <f t="shared" si="34"/>
        <v/>
      </c>
      <c r="H176" s="75" t="str">
        <f t="shared" si="35"/>
        <v/>
      </c>
      <c r="I176" s="75" t="str">
        <f t="shared" si="36"/>
        <v/>
      </c>
      <c r="J176" s="74" t="str">
        <f t="shared" ca="1" si="37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2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40"/>
        <v/>
      </c>
      <c r="R176" s="10">
        <v>3</v>
      </c>
      <c r="AJ176" s="33" t="str">
        <f t="shared" ca="1" si="31"/>
        <v>BEA</v>
      </c>
    </row>
    <row r="177" spans="1:36" ht="12.75">
      <c r="A177" s="6">
        <v>9.2200000000000006</v>
      </c>
      <c r="B177" s="32" t="s">
        <v>32</v>
      </c>
      <c r="C177" s="33" t="s">
        <v>35</v>
      </c>
      <c r="D177" s="74"/>
      <c r="E177" s="75" t="str">
        <f t="shared" si="32"/>
        <v/>
      </c>
      <c r="F177" s="75" t="str">
        <f t="shared" si="33"/>
        <v/>
      </c>
      <c r="G177" s="75" t="str">
        <f t="shared" si="34"/>
        <v/>
      </c>
      <c r="H177" s="75" t="str">
        <f t="shared" si="35"/>
        <v/>
      </c>
      <c r="I177" s="75" t="str">
        <f t="shared" si="36"/>
        <v/>
      </c>
      <c r="J177" s="74" t="str">
        <f t="shared" ca="1" si="37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2"/>
        <v>input starter in column D</v>
      </c>
      <c r="Q177" s="5" t="str">
        <f t="shared" si="40"/>
        <v/>
      </c>
      <c r="R177" s="10">
        <v>1</v>
      </c>
      <c r="AJ177" s="33" t="str">
        <f t="shared" ca="1" si="31"/>
        <v>BEA</v>
      </c>
    </row>
    <row r="178" spans="1:36" ht="12.75">
      <c r="A178" s="6">
        <v>9.23</v>
      </c>
      <c r="B178" s="32" t="s">
        <v>32</v>
      </c>
      <c r="C178" s="33" t="s">
        <v>35</v>
      </c>
      <c r="D178" s="74"/>
      <c r="E178" s="75" t="str">
        <f t="shared" si="32"/>
        <v/>
      </c>
      <c r="F178" s="75" t="str">
        <f t="shared" si="33"/>
        <v/>
      </c>
      <c r="G178" s="75" t="str">
        <f t="shared" si="34"/>
        <v/>
      </c>
      <c r="H178" s="75" t="str">
        <f t="shared" si="35"/>
        <v/>
      </c>
      <c r="I178" s="75" t="str">
        <f t="shared" si="36"/>
        <v/>
      </c>
      <c r="J178" s="74" t="str">
        <f t="shared" ca="1" si="37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2"/>
        <v>input starter in column D</v>
      </c>
      <c r="Q178" s="5" t="str">
        <f t="shared" si="40"/>
        <v/>
      </c>
      <c r="R178" s="10">
        <v>2</v>
      </c>
      <c r="AJ178" s="33" t="str">
        <f t="shared" ca="1" si="31"/>
        <v>BEA</v>
      </c>
    </row>
    <row r="179" spans="1:36" ht="12.75">
      <c r="A179" s="6">
        <v>9.24</v>
      </c>
      <c r="B179" s="33" t="s">
        <v>32</v>
      </c>
      <c r="C179" s="33" t="s">
        <v>1917</v>
      </c>
      <c r="D179" s="74"/>
      <c r="E179" s="75" t="str">
        <f t="shared" si="32"/>
        <v/>
      </c>
      <c r="F179" s="75" t="str">
        <f t="shared" si="33"/>
        <v/>
      </c>
      <c r="G179" s="75" t="str">
        <f t="shared" si="34"/>
        <v/>
      </c>
      <c r="H179" s="75" t="str">
        <f t="shared" si="35"/>
        <v/>
      </c>
      <c r="I179" s="75" t="str">
        <f t="shared" si="36"/>
        <v/>
      </c>
      <c r="J179" s="74" t="str">
        <f t="shared" ca="1" si="37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2"/>
        <v>input starter in column D</v>
      </c>
      <c r="Q179" s="5" t="str">
        <f t="shared" si="40"/>
        <v/>
      </c>
      <c r="R179" s="10">
        <v>4</v>
      </c>
      <c r="AJ179" s="33" t="str">
        <f t="shared" ca="1" si="31"/>
        <v>BEA</v>
      </c>
    </row>
    <row r="180" spans="1:36" ht="12.75">
      <c r="A180" s="6">
        <v>9.25</v>
      </c>
      <c r="B180" s="33" t="s">
        <v>32</v>
      </c>
      <c r="C180" s="33" t="s">
        <v>1917</v>
      </c>
      <c r="D180" s="74"/>
      <c r="E180" s="75" t="str">
        <f t="shared" si="32"/>
        <v/>
      </c>
      <c r="F180" s="75" t="str">
        <f t="shared" si="33"/>
        <v/>
      </c>
      <c r="G180" s="75" t="str">
        <f t="shared" si="34"/>
        <v/>
      </c>
      <c r="H180" s="75" t="str">
        <f t="shared" si="35"/>
        <v/>
      </c>
      <c r="I180" s="75" t="str">
        <f t="shared" si="36"/>
        <v/>
      </c>
      <c r="J180" s="74" t="str">
        <f t="shared" ca="1" si="37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2"/>
        <v>input starter in column D</v>
      </c>
      <c r="Q180" s="5" t="str">
        <f t="shared" si="40"/>
        <v/>
      </c>
      <c r="R180" s="10">
        <v>5</v>
      </c>
      <c r="AJ180" s="33" t="str">
        <f t="shared" ca="1" si="31"/>
        <v>BEA</v>
      </c>
    </row>
    <row r="181" spans="1:36" ht="12.75">
      <c r="A181" s="6">
        <v>9.26</v>
      </c>
      <c r="B181" s="33" t="s">
        <v>32</v>
      </c>
      <c r="C181" s="33" t="s">
        <v>1917</v>
      </c>
      <c r="D181" s="74"/>
      <c r="E181" s="75" t="str">
        <f t="shared" si="32"/>
        <v/>
      </c>
      <c r="F181" s="75" t="str">
        <f t="shared" si="33"/>
        <v/>
      </c>
      <c r="G181" s="75" t="str">
        <f t="shared" si="34"/>
        <v/>
      </c>
      <c r="H181" s="75" t="str">
        <f t="shared" si="35"/>
        <v/>
      </c>
      <c r="I181" s="75" t="str">
        <f t="shared" si="36"/>
        <v/>
      </c>
      <c r="J181" s="74" t="str">
        <f t="shared" ca="1" si="37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2"/>
        <v>input starter in column D</v>
      </c>
      <c r="Q181" s="5" t="str">
        <f t="shared" si="40"/>
        <v/>
      </c>
      <c r="R181" s="10">
        <v>3</v>
      </c>
      <c r="AJ181" s="33" t="str">
        <f t="shared" ca="1" si="31"/>
        <v>BEA</v>
      </c>
    </row>
    <row r="182" spans="1:36" ht="12.75">
      <c r="A182" s="6">
        <v>9.27</v>
      </c>
      <c r="B182" s="33" t="s">
        <v>32</v>
      </c>
      <c r="C182" s="33" t="s">
        <v>40</v>
      </c>
      <c r="D182" s="74"/>
      <c r="E182" s="75" t="str">
        <f t="shared" si="32"/>
        <v/>
      </c>
      <c r="F182" s="75" t="str">
        <f t="shared" si="33"/>
        <v/>
      </c>
      <c r="G182" s="75" t="str">
        <f t="shared" si="34"/>
        <v/>
      </c>
      <c r="H182" s="75" t="str">
        <f t="shared" si="35"/>
        <v/>
      </c>
      <c r="I182" s="75" t="str">
        <f t="shared" si="36"/>
        <v/>
      </c>
      <c r="J182" s="74" t="str">
        <f t="shared" ca="1" si="37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2"/>
        <v>input starter in column D</v>
      </c>
      <c r="Q182" s="5" t="str">
        <f t="shared" si="40"/>
        <v/>
      </c>
      <c r="R182" s="10">
        <v>1</v>
      </c>
      <c r="AJ182" s="33" t="str">
        <f t="shared" ca="1" si="31"/>
        <v>BEA</v>
      </c>
    </row>
    <row r="183" spans="1:36" ht="12.75">
      <c r="A183" s="6">
        <v>9.2799999999999994</v>
      </c>
      <c r="B183" s="33" t="s">
        <v>32</v>
      </c>
      <c r="C183" s="33" t="s">
        <v>40</v>
      </c>
      <c r="D183" s="74"/>
      <c r="E183" s="75" t="str">
        <f t="shared" si="32"/>
        <v/>
      </c>
      <c r="F183" s="75" t="str">
        <f t="shared" si="33"/>
        <v/>
      </c>
      <c r="G183" s="75" t="str">
        <f t="shared" si="34"/>
        <v/>
      </c>
      <c r="H183" s="75" t="str">
        <f t="shared" si="35"/>
        <v/>
      </c>
      <c r="I183" s="75" t="str">
        <f t="shared" si="36"/>
        <v/>
      </c>
      <c r="J183" s="74" t="str">
        <f t="shared" ca="1" si="37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2"/>
        <v>input starter in column D</v>
      </c>
      <c r="Q183" s="5" t="str">
        <f t="shared" si="40"/>
        <v/>
      </c>
      <c r="R183" s="10">
        <v>2</v>
      </c>
      <c r="AJ183" s="33" t="str">
        <f t="shared" ca="1" si="31"/>
        <v>BEA</v>
      </c>
    </row>
    <row r="184" spans="1:36" ht="12.75">
      <c r="A184" s="6">
        <v>9.2899999999999991</v>
      </c>
      <c r="B184" s="33" t="s">
        <v>32</v>
      </c>
      <c r="C184" s="33" t="s">
        <v>40</v>
      </c>
      <c r="D184" s="74"/>
      <c r="E184" s="75" t="str">
        <f t="shared" si="32"/>
        <v/>
      </c>
      <c r="F184" s="75" t="str">
        <f t="shared" si="33"/>
        <v/>
      </c>
      <c r="G184" s="75" t="str">
        <f t="shared" si="34"/>
        <v/>
      </c>
      <c r="H184" s="75" t="str">
        <f t="shared" si="35"/>
        <v/>
      </c>
      <c r="I184" s="75" t="str">
        <f t="shared" si="36"/>
        <v/>
      </c>
      <c r="J184" s="74" t="str">
        <f t="shared" ca="1" si="37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2"/>
        <v>input starter in column D</v>
      </c>
      <c r="Q184" s="5" t="str">
        <f t="shared" si="40"/>
        <v/>
      </c>
      <c r="R184" s="10">
        <v>4</v>
      </c>
      <c r="AJ184" s="33" t="str">
        <f t="shared" ca="1" si="31"/>
        <v>BEA</v>
      </c>
    </row>
    <row r="185" spans="1:36" ht="12.75">
      <c r="A185" s="6">
        <v>9.3000000000000007</v>
      </c>
      <c r="B185" s="33" t="s">
        <v>32</v>
      </c>
      <c r="C185" s="33" t="s">
        <v>40</v>
      </c>
      <c r="D185" s="74"/>
      <c r="E185" s="75" t="str">
        <f t="shared" si="32"/>
        <v/>
      </c>
      <c r="F185" s="75" t="str">
        <f t="shared" si="33"/>
        <v/>
      </c>
      <c r="G185" s="75" t="str">
        <f t="shared" si="34"/>
        <v/>
      </c>
      <c r="H185" s="75" t="str">
        <f t="shared" si="35"/>
        <v/>
      </c>
      <c r="I185" s="75" t="str">
        <f t="shared" si="36"/>
        <v/>
      </c>
      <c r="J185" s="74" t="str">
        <f t="shared" ca="1" si="37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2"/>
        <v>input starter in column D</v>
      </c>
      <c r="Q185" s="5" t="str">
        <f t="shared" si="40"/>
        <v/>
      </c>
      <c r="R185" s="10">
        <v>5</v>
      </c>
      <c r="AJ185" s="33" t="str">
        <f t="shared" ca="1" si="31"/>
        <v>BEA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K197" s="2"/>
      <c r="AJ197" s="2"/>
    </row>
    <row r="198" spans="3:36">
      <c r="C198" s="2"/>
      <c r="K198" s="2"/>
      <c r="AJ198" s="2"/>
    </row>
    <row r="199" spans="3:36">
      <c r="C199" s="2"/>
      <c r="K199" s="2"/>
      <c r="AJ199" s="2"/>
    </row>
    <row r="200" spans="3:36">
      <c r="C200" s="2"/>
      <c r="K200" s="2"/>
      <c r="AJ200" s="2"/>
    </row>
    <row r="201" spans="3:36">
      <c r="C201" s="2"/>
      <c r="K201" s="2"/>
      <c r="AJ201" s="2"/>
    </row>
    <row r="202" spans="3:36">
      <c r="C202" s="2"/>
      <c r="K202" s="2"/>
      <c r="AJ202" s="2"/>
    </row>
    <row r="203" spans="3:36">
      <c r="C203" s="2"/>
      <c r="K203" s="2"/>
      <c r="AJ203" s="2"/>
    </row>
    <row r="204" spans="3:36">
      <c r="C204" s="2"/>
      <c r="AJ204" s="2"/>
    </row>
    <row r="205" spans="3:36">
      <c r="C205" s="2"/>
      <c r="AJ205" s="2"/>
    </row>
    <row r="206" spans="3:36">
      <c r="C206" s="2"/>
      <c r="AJ206" s="2"/>
    </row>
    <row r="207" spans="3:36">
      <c r="C207" s="2"/>
      <c r="AJ207" s="2"/>
    </row>
    <row r="208" spans="3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</sheetData>
  <phoneticPr fontId="0" type="noConversion"/>
  <conditionalFormatting sqref="AK3:AK22">
    <cfRule type="cellIs" dxfId="7724" priority="827" stopIfTrue="1" operator="equal">
      <formula>"must average at least 5 innings per start"</formula>
    </cfRule>
  </conditionalFormatting>
  <conditionalFormatting sqref="AK23">
    <cfRule type="cellIs" dxfId="7723" priority="828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22" priority="829" stopIfTrue="1" operator="equal">
      <formula>"input starter in column C"</formula>
    </cfRule>
  </conditionalFormatting>
  <conditionalFormatting sqref="Q3:Q6 Q13:Q16 Q18:Q21 Q23:Q26 Q28:Q31 Q176:Q185 Q165:Q174 Q157:Q163 Q139:Q155 Q125:Q137 Q84:Q89 Q106:Q123 Q91:Q102 Q71:Q82 Q63:Q69 Q56:Q61 Q49:Q54 Q33:Q40 Q42:Q47 Q8:Q11">
    <cfRule type="cellIs" dxfId="7721" priority="830" stopIfTrue="1" operator="equal">
      <formula>"input a different starter in column C"</formula>
    </cfRule>
  </conditionalFormatting>
  <conditionalFormatting sqref="AH3:AH22">
    <cfRule type="cellIs" dxfId="7720" priority="398" stopIfTrue="1" operator="equal">
      <formula>"must average at least 5 innings per start"</formula>
    </cfRule>
  </conditionalFormatting>
  <conditionalFormatting sqref="AH23">
    <cfRule type="cellIs" dxfId="7719" priority="397" stopIfTrue="1" operator="equal">
      <formula>"must have 162 starts"</formula>
    </cfRule>
  </conditionalFormatting>
  <conditionalFormatting sqref="AG3:AG22">
    <cfRule type="cellIs" dxfId="7718" priority="396" stopIfTrue="1" operator="equal">
      <formula>"must average at least 5 innings per start"</formula>
    </cfRule>
  </conditionalFormatting>
  <conditionalFormatting sqref="AG23">
    <cfRule type="cellIs" dxfId="7717" priority="395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16" priority="39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15" priority="39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14" priority="39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13" priority="39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12" priority="39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11" priority="38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10" priority="38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9" priority="38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8" priority="38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7" priority="38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6" priority="38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5" priority="38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4" priority="38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3" priority="38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2" priority="38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1" priority="37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700" priority="37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699" priority="37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698" priority="37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697" priority="37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696" priority="37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695" priority="37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694" priority="37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693" priority="37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692" priority="370" stopIfTrue="1" operator="equal">
      <formula>"input starter in column C"</formula>
    </cfRule>
  </conditionalFormatting>
  <conditionalFormatting sqref="P3">
    <cfRule type="cellIs" dxfId="7691" priority="369" stopIfTrue="1" operator="equal">
      <formula>"input starter in column D"</formula>
    </cfRule>
  </conditionalFormatting>
  <conditionalFormatting sqref="P4">
    <cfRule type="cellIs" dxfId="7690" priority="368" stopIfTrue="1" operator="equal">
      <formula>"input starter in column D"</formula>
    </cfRule>
  </conditionalFormatting>
  <conditionalFormatting sqref="P5">
    <cfRule type="cellIs" dxfId="7689" priority="367" stopIfTrue="1" operator="equal">
      <formula>"INPUT STARTER IN COLUMN D"</formula>
    </cfRule>
  </conditionalFormatting>
  <conditionalFormatting sqref="P6">
    <cfRule type="cellIs" dxfId="7688" priority="366" stopIfTrue="1" operator="equal">
      <formula>"INPUT STARTER IN COLUMN D"</formula>
    </cfRule>
  </conditionalFormatting>
  <conditionalFormatting sqref="P8">
    <cfRule type="cellIs" dxfId="7687" priority="365" stopIfTrue="1" operator="equal">
      <formula>"INPUT STARTER IN COLUMN D"</formula>
    </cfRule>
  </conditionalFormatting>
  <conditionalFormatting sqref="P9">
    <cfRule type="cellIs" dxfId="7686" priority="364" stopIfTrue="1" operator="equal">
      <formula>"INPUT STARTER IN COLUMN D"</formula>
    </cfRule>
  </conditionalFormatting>
  <conditionalFormatting sqref="P10">
    <cfRule type="cellIs" dxfId="7685" priority="363" stopIfTrue="1" operator="equal">
      <formula>"INPUT STARTER IN COLUMN D"</formula>
    </cfRule>
  </conditionalFormatting>
  <conditionalFormatting sqref="P11">
    <cfRule type="cellIs" dxfId="7684" priority="362" stopIfTrue="1" operator="equal">
      <formula>"INPUT STARTER IN COLUMN D"</formula>
    </cfRule>
  </conditionalFormatting>
  <conditionalFormatting sqref="P13">
    <cfRule type="cellIs" dxfId="7683" priority="361" stopIfTrue="1" operator="equal">
      <formula>"INPUT STARTER IN COLUMN D"</formula>
    </cfRule>
  </conditionalFormatting>
  <conditionalFormatting sqref="P14">
    <cfRule type="cellIs" dxfId="7682" priority="360" stopIfTrue="1" operator="equal">
      <formula>"INPUT STARTER IN COLUMN D"</formula>
    </cfRule>
  </conditionalFormatting>
  <conditionalFormatting sqref="P15">
    <cfRule type="cellIs" dxfId="7681" priority="359" stopIfTrue="1" operator="equal">
      <formula>"INPUT STARTER IN COLUMN D"</formula>
    </cfRule>
  </conditionalFormatting>
  <conditionalFormatting sqref="P16">
    <cfRule type="cellIs" dxfId="7680" priority="358" stopIfTrue="1" operator="equal">
      <formula>"INPUT STARTER IN COLUMN D"</formula>
    </cfRule>
  </conditionalFormatting>
  <conditionalFormatting sqref="P18">
    <cfRule type="cellIs" dxfId="7679" priority="357" stopIfTrue="1" operator="equal">
      <formula>"INPUT STARTER IN COLUMN D"</formula>
    </cfRule>
  </conditionalFormatting>
  <conditionalFormatting sqref="P19">
    <cfRule type="cellIs" dxfId="7678" priority="356" stopIfTrue="1" operator="equal">
      <formula>"INPUT STARTER IN COLUMN D"</formula>
    </cfRule>
  </conditionalFormatting>
  <conditionalFormatting sqref="P20">
    <cfRule type="cellIs" dxfId="7677" priority="355" stopIfTrue="1" operator="equal">
      <formula>"INPUT STARTER IN COLUMN D"</formula>
    </cfRule>
  </conditionalFormatting>
  <conditionalFormatting sqref="P21">
    <cfRule type="cellIs" dxfId="7676" priority="354" stopIfTrue="1" operator="equal">
      <formula>"INPUT STARTER IN COLUMN D"</formula>
    </cfRule>
  </conditionalFormatting>
  <conditionalFormatting sqref="P23">
    <cfRule type="cellIs" dxfId="7675" priority="353" stopIfTrue="1" operator="equal">
      <formula>"INPUT STARTER IN COLUMN D"</formula>
    </cfRule>
  </conditionalFormatting>
  <conditionalFormatting sqref="P24">
    <cfRule type="cellIs" dxfId="7674" priority="352" stopIfTrue="1" operator="equal">
      <formula>"INPUT STARTER IN COLUMN D"</formula>
    </cfRule>
  </conditionalFormatting>
  <conditionalFormatting sqref="P25">
    <cfRule type="cellIs" dxfId="7673" priority="351" stopIfTrue="1" operator="equal">
      <formula>"INPUT STARTER IN COLUMN D"</formula>
    </cfRule>
  </conditionalFormatting>
  <conditionalFormatting sqref="P26">
    <cfRule type="cellIs" dxfId="7672" priority="350" stopIfTrue="1" operator="equal">
      <formula>"INPUT STARTER IN COLUMN D"</formula>
    </cfRule>
  </conditionalFormatting>
  <conditionalFormatting sqref="P28">
    <cfRule type="cellIs" dxfId="7671" priority="349" stopIfTrue="1" operator="equal">
      <formula>"INPUT STARTER IN COLUMN D"</formula>
    </cfRule>
  </conditionalFormatting>
  <conditionalFormatting sqref="P29">
    <cfRule type="cellIs" dxfId="7670" priority="348" stopIfTrue="1" operator="equal">
      <formula>"INPUT STARTER IN COLUMN D"</formula>
    </cfRule>
  </conditionalFormatting>
  <conditionalFormatting sqref="P30">
    <cfRule type="cellIs" dxfId="7669" priority="347" stopIfTrue="1" operator="equal">
      <formula>"INPUT STARTER IN COLUMN D"</formula>
    </cfRule>
  </conditionalFormatting>
  <conditionalFormatting sqref="P31">
    <cfRule type="cellIs" dxfId="7668" priority="346" stopIfTrue="1" operator="equal">
      <formula>"INPUT STARTER IN COLUMN D"</formula>
    </cfRule>
  </conditionalFormatting>
  <conditionalFormatting sqref="P33">
    <cfRule type="cellIs" dxfId="7667" priority="345" stopIfTrue="1" operator="equal">
      <formula>"INPUT STARTER IN COLUMN D"</formula>
    </cfRule>
  </conditionalFormatting>
  <conditionalFormatting sqref="P34">
    <cfRule type="cellIs" dxfId="7666" priority="344" stopIfTrue="1" operator="equal">
      <formula>"INPUT STARTER IN COLUMN D"</formula>
    </cfRule>
  </conditionalFormatting>
  <conditionalFormatting sqref="P35">
    <cfRule type="cellIs" dxfId="7665" priority="343" stopIfTrue="1" operator="equal">
      <formula>"INPUT STARTER IN COLUMN D"</formula>
    </cfRule>
  </conditionalFormatting>
  <conditionalFormatting sqref="P36">
    <cfRule type="cellIs" dxfId="7664" priority="342" stopIfTrue="1" operator="equal">
      <formula>"INPUT STARTER IN COLUMN D"</formula>
    </cfRule>
  </conditionalFormatting>
  <conditionalFormatting sqref="P37">
    <cfRule type="cellIs" dxfId="7663" priority="341" stopIfTrue="1" operator="equal">
      <formula>"INPUT STARTER IN COLUMN D"</formula>
    </cfRule>
  </conditionalFormatting>
  <conditionalFormatting sqref="P38">
    <cfRule type="cellIs" dxfId="7662" priority="340" stopIfTrue="1" operator="equal">
      <formula>"INPUT STARTER IN COLUMN D"</formula>
    </cfRule>
  </conditionalFormatting>
  <conditionalFormatting sqref="P39">
    <cfRule type="cellIs" dxfId="7661" priority="339" stopIfTrue="1" operator="equal">
      <formula>"INPUT STARTER IN COLUMN D"</formula>
    </cfRule>
  </conditionalFormatting>
  <conditionalFormatting sqref="P40">
    <cfRule type="cellIs" dxfId="7660" priority="338" stopIfTrue="1" operator="equal">
      <formula>"INPUT STARTER IN COLUMN D"</formula>
    </cfRule>
  </conditionalFormatting>
  <conditionalFormatting sqref="P42">
    <cfRule type="cellIs" dxfId="7659" priority="337" stopIfTrue="1" operator="equal">
      <formula>"INPUT STARTER IN COLUMN D"</formula>
    </cfRule>
  </conditionalFormatting>
  <conditionalFormatting sqref="P43">
    <cfRule type="cellIs" dxfId="7658" priority="336" stopIfTrue="1" operator="equal">
      <formula>"INPUT STARTER IN COLUMN D"</formula>
    </cfRule>
  </conditionalFormatting>
  <conditionalFormatting sqref="P44">
    <cfRule type="cellIs" dxfId="7657" priority="335" stopIfTrue="1" operator="equal">
      <formula>"INPUT STARTER IN COLUMN D"</formula>
    </cfRule>
  </conditionalFormatting>
  <conditionalFormatting sqref="P45">
    <cfRule type="cellIs" dxfId="7656" priority="334" stopIfTrue="1" operator="equal">
      <formula>"INPUT STARTER IN COLUMN D"</formula>
    </cfRule>
  </conditionalFormatting>
  <conditionalFormatting sqref="P46">
    <cfRule type="cellIs" dxfId="7655" priority="333" stopIfTrue="1" operator="equal">
      <formula>"INPUT STARTER IN COLUMN D"</formula>
    </cfRule>
  </conditionalFormatting>
  <conditionalFormatting sqref="P47">
    <cfRule type="cellIs" dxfId="7654" priority="332" stopIfTrue="1" operator="equal">
      <formula>"INPUT STARTER IN COLUMN D"</formula>
    </cfRule>
  </conditionalFormatting>
  <conditionalFormatting sqref="P49">
    <cfRule type="cellIs" dxfId="7653" priority="331" stopIfTrue="1" operator="equal">
      <formula>"INPUT STARTER IN COLUMN D"</formula>
    </cfRule>
  </conditionalFormatting>
  <conditionalFormatting sqref="P50">
    <cfRule type="cellIs" dxfId="7652" priority="330" stopIfTrue="1" operator="equal">
      <formula>"INPUT STARTER IN COLUMN D"</formula>
    </cfRule>
  </conditionalFormatting>
  <conditionalFormatting sqref="P51">
    <cfRule type="cellIs" dxfId="7651" priority="329" stopIfTrue="1" operator="equal">
      <formula>"INPUT STARTER IN COLUMN D"</formula>
    </cfRule>
  </conditionalFormatting>
  <conditionalFormatting sqref="P52">
    <cfRule type="cellIs" dxfId="7650" priority="328" stopIfTrue="1" operator="equal">
      <formula>"INPUT STARTER IN COLUMN D"</formula>
    </cfRule>
  </conditionalFormatting>
  <conditionalFormatting sqref="P53">
    <cfRule type="cellIs" dxfId="7649" priority="327" stopIfTrue="1" operator="equal">
      <formula>"INPUT STARTER IN COLUMN D"</formula>
    </cfRule>
  </conditionalFormatting>
  <conditionalFormatting sqref="P54">
    <cfRule type="cellIs" dxfId="7648" priority="326" stopIfTrue="1" operator="equal">
      <formula>"INPUT STARTER IN COLUMN D"</formula>
    </cfRule>
  </conditionalFormatting>
  <conditionalFormatting sqref="P56">
    <cfRule type="cellIs" dxfId="7647" priority="325" stopIfTrue="1" operator="equal">
      <formula>"INPUT STARTER IN COLUMN D"</formula>
    </cfRule>
  </conditionalFormatting>
  <conditionalFormatting sqref="P57">
    <cfRule type="cellIs" dxfId="7646" priority="324" stopIfTrue="1" operator="equal">
      <formula>"INPUT STARTER IN COLUMN D"</formula>
    </cfRule>
  </conditionalFormatting>
  <conditionalFormatting sqref="P58">
    <cfRule type="cellIs" dxfId="7645" priority="323" stopIfTrue="1" operator="equal">
      <formula>"INPUT STARTER IN COLUMN D"</formula>
    </cfRule>
  </conditionalFormatting>
  <conditionalFormatting sqref="P59">
    <cfRule type="cellIs" dxfId="7644" priority="322" stopIfTrue="1" operator="equal">
      <formula>"INPUT STARTER IN COLUMN D"</formula>
    </cfRule>
  </conditionalFormatting>
  <conditionalFormatting sqref="P60">
    <cfRule type="cellIs" dxfId="7643" priority="321" stopIfTrue="1" operator="equal">
      <formula>"INPUT STARTER IN COLUMN D"</formula>
    </cfRule>
  </conditionalFormatting>
  <conditionalFormatting sqref="P61">
    <cfRule type="cellIs" dxfId="7642" priority="320" stopIfTrue="1" operator="equal">
      <formula>"INPUT STARTER IN COLUMN D"</formula>
    </cfRule>
  </conditionalFormatting>
  <conditionalFormatting sqref="P63">
    <cfRule type="cellIs" dxfId="7641" priority="319" stopIfTrue="1" operator="equal">
      <formula>"INPUT STARTER IN COLUMN D"</formula>
    </cfRule>
  </conditionalFormatting>
  <conditionalFormatting sqref="P64">
    <cfRule type="cellIs" dxfId="7640" priority="318" stopIfTrue="1" operator="equal">
      <formula>"INPUT STARTER IN COLUMN D"</formula>
    </cfRule>
  </conditionalFormatting>
  <conditionalFormatting sqref="P65">
    <cfRule type="cellIs" dxfId="7639" priority="317" stopIfTrue="1" operator="equal">
      <formula>"INPUT STARTER IN COLUMN D"</formula>
    </cfRule>
  </conditionalFormatting>
  <conditionalFormatting sqref="P66">
    <cfRule type="cellIs" dxfId="7638" priority="316" stopIfTrue="1" operator="equal">
      <formula>"INPUT STARTER IN COLUMN D"</formula>
    </cfRule>
  </conditionalFormatting>
  <conditionalFormatting sqref="P67">
    <cfRule type="cellIs" dxfId="7637" priority="315" stopIfTrue="1" operator="equal">
      <formula>"INPUT STARTER IN COLUMN D"</formula>
    </cfRule>
  </conditionalFormatting>
  <conditionalFormatting sqref="P68">
    <cfRule type="cellIs" dxfId="7636" priority="314" stopIfTrue="1" operator="equal">
      <formula>"INPUT STARTER IN COLUMN D"</formula>
    </cfRule>
  </conditionalFormatting>
  <conditionalFormatting sqref="P69">
    <cfRule type="cellIs" dxfId="7635" priority="313" stopIfTrue="1" operator="equal">
      <formula>"INPUT STARTER IN COLUMN D"</formula>
    </cfRule>
  </conditionalFormatting>
  <conditionalFormatting sqref="P71">
    <cfRule type="cellIs" dxfId="7634" priority="312" stopIfTrue="1" operator="equal">
      <formula>"INPUT STARTER IN COLUMN D"</formula>
    </cfRule>
  </conditionalFormatting>
  <conditionalFormatting sqref="P72">
    <cfRule type="cellIs" dxfId="7633" priority="311" stopIfTrue="1" operator="equal">
      <formula>"INPUT STARTER IN COLUMN D"</formula>
    </cfRule>
  </conditionalFormatting>
  <conditionalFormatting sqref="P73">
    <cfRule type="cellIs" dxfId="7632" priority="310" stopIfTrue="1" operator="equal">
      <formula>"INPUT STARTER IN COLUMN D"</formula>
    </cfRule>
  </conditionalFormatting>
  <conditionalFormatting sqref="P74">
    <cfRule type="cellIs" dxfId="7631" priority="309" stopIfTrue="1" operator="equal">
      <formula>"INPUT STARTER IN COLUMN D"</formula>
    </cfRule>
  </conditionalFormatting>
  <conditionalFormatting sqref="P75">
    <cfRule type="cellIs" dxfId="7630" priority="308" stopIfTrue="1" operator="equal">
      <formula>"INPUT STARTER IN COLUMN D"</formula>
    </cfRule>
  </conditionalFormatting>
  <conditionalFormatting sqref="P76">
    <cfRule type="cellIs" dxfId="7629" priority="307" stopIfTrue="1" operator="equal">
      <formula>"INPUT STARTER IN COLUMN D"</formula>
    </cfRule>
  </conditionalFormatting>
  <conditionalFormatting sqref="P77">
    <cfRule type="cellIs" dxfId="7628" priority="306" stopIfTrue="1" operator="equal">
      <formula>"INPUT STARTER IN COLUMN D"</formula>
    </cfRule>
  </conditionalFormatting>
  <conditionalFormatting sqref="P78">
    <cfRule type="cellIs" dxfId="7627" priority="305" stopIfTrue="1" operator="equal">
      <formula>"INPUT STARTER IN COLUMN D"</formula>
    </cfRule>
  </conditionalFormatting>
  <conditionalFormatting sqref="P79">
    <cfRule type="cellIs" dxfId="7626" priority="304" stopIfTrue="1" operator="equal">
      <formula>"INPUT STARTER IN COLUMN D"</formula>
    </cfRule>
  </conditionalFormatting>
  <conditionalFormatting sqref="P80">
    <cfRule type="cellIs" dxfId="7625" priority="303" stopIfTrue="1" operator="equal">
      <formula>"INPUT STARTER IN COLUMN D"</formula>
    </cfRule>
  </conditionalFormatting>
  <conditionalFormatting sqref="P81">
    <cfRule type="cellIs" dxfId="7624" priority="302" stopIfTrue="1" operator="equal">
      <formula>"INPUT STARTER IN COLUMN D"</formula>
    </cfRule>
  </conditionalFormatting>
  <conditionalFormatting sqref="P82">
    <cfRule type="cellIs" dxfId="7623" priority="301" stopIfTrue="1" operator="equal">
      <formula>"INPUT STARTER IN COLUMN D"</formula>
    </cfRule>
  </conditionalFormatting>
  <conditionalFormatting sqref="P84">
    <cfRule type="cellIs" dxfId="7622" priority="300" stopIfTrue="1" operator="equal">
      <formula>"INPUT STARTER IN COLUMN D"</formula>
    </cfRule>
  </conditionalFormatting>
  <conditionalFormatting sqref="P85">
    <cfRule type="cellIs" dxfId="7621" priority="299" stopIfTrue="1" operator="equal">
      <formula>"INPUT STARTER IN COLUMN D"</formula>
    </cfRule>
  </conditionalFormatting>
  <conditionalFormatting sqref="P86">
    <cfRule type="cellIs" dxfId="7620" priority="298" stopIfTrue="1" operator="equal">
      <formula>"INPUT STARTER IN COLUMN D"</formula>
    </cfRule>
  </conditionalFormatting>
  <conditionalFormatting sqref="P87">
    <cfRule type="cellIs" dxfId="7619" priority="297" stopIfTrue="1" operator="equal">
      <formula>"INPUT STARTER IN COLUMN D"</formula>
    </cfRule>
  </conditionalFormatting>
  <conditionalFormatting sqref="P88">
    <cfRule type="cellIs" dxfId="7618" priority="296" stopIfTrue="1" operator="equal">
      <formula>"INPUT STARTER IN COLUMN D"</formula>
    </cfRule>
  </conditionalFormatting>
  <conditionalFormatting sqref="P89">
    <cfRule type="cellIs" dxfId="7617" priority="295" stopIfTrue="1" operator="equal">
      <formula>"INPUT STARTER IN COLUMN D"</formula>
    </cfRule>
  </conditionalFormatting>
  <conditionalFormatting sqref="P91">
    <cfRule type="cellIs" dxfId="7616" priority="294" stopIfTrue="1" operator="equal">
      <formula>"INPUT STARTER IN COLUMN D"</formula>
    </cfRule>
  </conditionalFormatting>
  <conditionalFormatting sqref="P92">
    <cfRule type="cellIs" dxfId="7615" priority="293" stopIfTrue="1" operator="equal">
      <formula>"INPUT STARTER IN COLUMN D"</formula>
    </cfRule>
  </conditionalFormatting>
  <conditionalFormatting sqref="P93">
    <cfRule type="cellIs" dxfId="7614" priority="292" stopIfTrue="1" operator="equal">
      <formula>"INPUT STARTER IN COLUMN D"</formula>
    </cfRule>
  </conditionalFormatting>
  <conditionalFormatting sqref="P94">
    <cfRule type="cellIs" dxfId="7613" priority="291" stopIfTrue="1" operator="equal">
      <formula>"INPUT STARTER IN COLUMN D"</formula>
    </cfRule>
  </conditionalFormatting>
  <conditionalFormatting sqref="P95">
    <cfRule type="cellIs" dxfId="7612" priority="290" stopIfTrue="1" operator="equal">
      <formula>"INPUT STARTER IN COLUMN D"</formula>
    </cfRule>
  </conditionalFormatting>
  <conditionalFormatting sqref="P96">
    <cfRule type="cellIs" dxfId="7611" priority="289" stopIfTrue="1" operator="equal">
      <formula>"INPUT STARTER IN COLUMN D"</formula>
    </cfRule>
  </conditionalFormatting>
  <conditionalFormatting sqref="P97">
    <cfRule type="cellIs" dxfId="7610" priority="288" stopIfTrue="1" operator="equal">
      <formula>"INPUT STARTER IN COLUMN D"</formula>
    </cfRule>
  </conditionalFormatting>
  <conditionalFormatting sqref="P98">
    <cfRule type="cellIs" dxfId="7609" priority="287" stopIfTrue="1" operator="equal">
      <formula>"INPUT STARTER IN COLUMN D"</formula>
    </cfRule>
  </conditionalFormatting>
  <conditionalFormatting sqref="P99">
    <cfRule type="cellIs" dxfId="7608" priority="286" stopIfTrue="1" operator="equal">
      <formula>"INPUT STARTER IN COLUMN D"</formula>
    </cfRule>
  </conditionalFormatting>
  <conditionalFormatting sqref="P100">
    <cfRule type="cellIs" dxfId="7607" priority="285" stopIfTrue="1" operator="equal">
      <formula>"INPUT STARTER IN COLUMN D"</formula>
    </cfRule>
  </conditionalFormatting>
  <conditionalFormatting sqref="P101">
    <cfRule type="cellIs" dxfId="7606" priority="284" stopIfTrue="1" operator="equal">
      <formula>"INPUT STARTER IN COLUMN D"</formula>
    </cfRule>
  </conditionalFormatting>
  <conditionalFormatting sqref="P102">
    <cfRule type="cellIs" dxfId="7605" priority="283" stopIfTrue="1" operator="equal">
      <formula>"INPUT STARTER IN COLUMN D"</formula>
    </cfRule>
  </conditionalFormatting>
  <conditionalFormatting sqref="P106">
    <cfRule type="cellIs" dxfId="7604" priority="282" stopIfTrue="1" operator="equal">
      <formula>"INPUT STARTER IN COLUMN D"</formula>
    </cfRule>
  </conditionalFormatting>
  <conditionalFormatting sqref="P107">
    <cfRule type="cellIs" dxfId="7603" priority="281" stopIfTrue="1" operator="equal">
      <formula>"INPUT STARTER IN COLUMN D"</formula>
    </cfRule>
  </conditionalFormatting>
  <conditionalFormatting sqref="P108">
    <cfRule type="cellIs" dxfId="7602" priority="280" stopIfTrue="1" operator="equal">
      <formula>"INPUT STARTER IN COLUMN D"</formula>
    </cfRule>
  </conditionalFormatting>
  <conditionalFormatting sqref="P109">
    <cfRule type="cellIs" dxfId="7601" priority="279" stopIfTrue="1" operator="equal">
      <formula>"INPUT STARTER IN COLUMN D"</formula>
    </cfRule>
  </conditionalFormatting>
  <conditionalFormatting sqref="P110">
    <cfRule type="cellIs" dxfId="7600" priority="278" stopIfTrue="1" operator="equal">
      <formula>"INPUT STARTER IN COLUMN D"</formula>
    </cfRule>
  </conditionalFormatting>
  <conditionalFormatting sqref="P111">
    <cfRule type="cellIs" dxfId="7599" priority="277" stopIfTrue="1" operator="equal">
      <formula>"INPUT STARTER IN COLUMN D"</formula>
    </cfRule>
  </conditionalFormatting>
  <conditionalFormatting sqref="P112">
    <cfRule type="cellIs" dxfId="7598" priority="276" stopIfTrue="1" operator="equal">
      <formula>"INPUT STARTER IN COLUMN D"</formula>
    </cfRule>
  </conditionalFormatting>
  <conditionalFormatting sqref="P113">
    <cfRule type="cellIs" dxfId="7597" priority="275" stopIfTrue="1" operator="equal">
      <formula>"INPUT STARTER IN COLUMN D"</formula>
    </cfRule>
  </conditionalFormatting>
  <conditionalFormatting sqref="P114">
    <cfRule type="cellIs" dxfId="7596" priority="274" stopIfTrue="1" operator="equal">
      <formula>"INPUT STARTER IN COLUMN D"</formula>
    </cfRule>
  </conditionalFormatting>
  <conditionalFormatting sqref="P115">
    <cfRule type="cellIs" dxfId="7595" priority="273" stopIfTrue="1" operator="equal">
      <formula>"INPUT STARTER IN COLUMN D"</formula>
    </cfRule>
  </conditionalFormatting>
  <conditionalFormatting sqref="P116">
    <cfRule type="cellIs" dxfId="7594" priority="272" stopIfTrue="1" operator="equal">
      <formula>"INPUT STARTER IN COLUMN D"</formula>
    </cfRule>
  </conditionalFormatting>
  <conditionalFormatting sqref="P117">
    <cfRule type="cellIs" dxfId="7593" priority="271" stopIfTrue="1" operator="equal">
      <formula>"INPUT STARTER IN COLUMN D"</formula>
    </cfRule>
  </conditionalFormatting>
  <conditionalFormatting sqref="P118">
    <cfRule type="cellIs" dxfId="7592" priority="270" stopIfTrue="1" operator="equal">
      <formula>"INPUT STARTER IN COLUMN D"</formula>
    </cfRule>
  </conditionalFormatting>
  <conditionalFormatting sqref="P119">
    <cfRule type="cellIs" dxfId="7591" priority="269" stopIfTrue="1" operator="equal">
      <formula>"INPUT STARTER IN COLUMN D"</formula>
    </cfRule>
  </conditionalFormatting>
  <conditionalFormatting sqref="P120">
    <cfRule type="cellIs" dxfId="7590" priority="268" stopIfTrue="1" operator="equal">
      <formula>"INPUT STARTER IN COLUMN D"</formula>
    </cfRule>
  </conditionalFormatting>
  <conditionalFormatting sqref="P121">
    <cfRule type="cellIs" dxfId="7589" priority="267" stopIfTrue="1" operator="equal">
      <formula>"INPUT STARTER IN COLUMN D"</formula>
    </cfRule>
  </conditionalFormatting>
  <conditionalFormatting sqref="P122">
    <cfRule type="cellIs" dxfId="7588" priority="266" stopIfTrue="1" operator="equal">
      <formula>"INPUT STARTER IN COLUMN D"</formula>
    </cfRule>
  </conditionalFormatting>
  <conditionalFormatting sqref="P123">
    <cfRule type="cellIs" dxfId="7587" priority="265" stopIfTrue="1" operator="equal">
      <formula>"INPUT STARTER IN COLUMN D"</formula>
    </cfRule>
  </conditionalFormatting>
  <conditionalFormatting sqref="P125">
    <cfRule type="cellIs" dxfId="7586" priority="264" stopIfTrue="1" operator="equal">
      <formula>"INPUT STARTER IN COLUMN D"</formula>
    </cfRule>
  </conditionalFormatting>
  <conditionalFormatting sqref="P126">
    <cfRule type="cellIs" dxfId="7585" priority="263" stopIfTrue="1" operator="equal">
      <formula>"INPUT STARTER IN COLUMN D"</formula>
    </cfRule>
  </conditionalFormatting>
  <conditionalFormatting sqref="P127">
    <cfRule type="cellIs" dxfId="7584" priority="262" stopIfTrue="1" operator="equal">
      <formula>"INPUT STARTER IN COLUMN D"</formula>
    </cfRule>
  </conditionalFormatting>
  <conditionalFormatting sqref="P128">
    <cfRule type="cellIs" dxfId="7583" priority="261" stopIfTrue="1" operator="equal">
      <formula>"INPUT STARTER IN COLUMN D"</formula>
    </cfRule>
  </conditionalFormatting>
  <conditionalFormatting sqref="P129">
    <cfRule type="cellIs" dxfId="7582" priority="260" stopIfTrue="1" operator="equal">
      <formula>"INPUT STARTER IN COLUMN D"</formula>
    </cfRule>
  </conditionalFormatting>
  <conditionalFormatting sqref="P130">
    <cfRule type="cellIs" dxfId="7581" priority="259" stopIfTrue="1" operator="equal">
      <formula>"INPUT STARTER IN COLUMN D"</formula>
    </cfRule>
  </conditionalFormatting>
  <conditionalFormatting sqref="P131">
    <cfRule type="cellIs" dxfId="7580" priority="258" stopIfTrue="1" operator="equal">
      <formula>"INPUT STARTER IN COLUMN D"</formula>
    </cfRule>
  </conditionalFormatting>
  <conditionalFormatting sqref="P132">
    <cfRule type="cellIs" dxfId="7579" priority="257" stopIfTrue="1" operator="equal">
      <formula>"INPUT STARTER IN COLUMN D"</formula>
    </cfRule>
  </conditionalFormatting>
  <conditionalFormatting sqref="P133">
    <cfRule type="cellIs" dxfId="7578" priority="256" stopIfTrue="1" operator="equal">
      <formula>"INPUT STARTER IN COLUMN D"</formula>
    </cfRule>
  </conditionalFormatting>
  <conditionalFormatting sqref="P134">
    <cfRule type="cellIs" dxfId="7577" priority="255" stopIfTrue="1" operator="equal">
      <formula>"INPUT STARTER IN COLUMN D"</formula>
    </cfRule>
  </conditionalFormatting>
  <conditionalFormatting sqref="P135">
    <cfRule type="cellIs" dxfId="7576" priority="254" stopIfTrue="1" operator="equal">
      <formula>"INPUT STARTER IN COLUMN D"</formula>
    </cfRule>
  </conditionalFormatting>
  <conditionalFormatting sqref="P136">
    <cfRule type="cellIs" dxfId="7575" priority="253" stopIfTrue="1" operator="equal">
      <formula>"INPUT STARTER IN COLUMN D"</formula>
    </cfRule>
  </conditionalFormatting>
  <conditionalFormatting sqref="P137">
    <cfRule type="cellIs" dxfId="7574" priority="252" stopIfTrue="1" operator="equal">
      <formula>"INPUT STARTER IN COLUMN D"</formula>
    </cfRule>
  </conditionalFormatting>
  <conditionalFormatting sqref="P139">
    <cfRule type="cellIs" dxfId="7573" priority="251" stopIfTrue="1" operator="equal">
      <formula>"INPUT STARTER IN COLUMN D"</formula>
    </cfRule>
  </conditionalFormatting>
  <conditionalFormatting sqref="P140">
    <cfRule type="cellIs" dxfId="7572" priority="250" stopIfTrue="1" operator="equal">
      <formula>"INPUT STARTER IN COLUMN D"</formula>
    </cfRule>
  </conditionalFormatting>
  <conditionalFormatting sqref="P141">
    <cfRule type="cellIs" dxfId="7571" priority="249" stopIfTrue="1" operator="equal">
      <formula>"INPUT STARTER IN COLUMN D"</formula>
    </cfRule>
  </conditionalFormatting>
  <conditionalFormatting sqref="P142">
    <cfRule type="cellIs" dxfId="7570" priority="248" stopIfTrue="1" operator="equal">
      <formula>"INPUT STARTER IN COLUMN D"</formula>
    </cfRule>
  </conditionalFormatting>
  <conditionalFormatting sqref="P143">
    <cfRule type="cellIs" dxfId="7569" priority="247" stopIfTrue="1" operator="equal">
      <formula>"INPUT STARTER IN COLUMN D"</formula>
    </cfRule>
  </conditionalFormatting>
  <conditionalFormatting sqref="P144">
    <cfRule type="cellIs" dxfId="7568" priority="246" stopIfTrue="1" operator="equal">
      <formula>"INPUT STARTER IN COLUMN D"</formula>
    </cfRule>
  </conditionalFormatting>
  <conditionalFormatting sqref="P145">
    <cfRule type="cellIs" dxfId="7567" priority="245" stopIfTrue="1" operator="equal">
      <formula>"INPUT STARTER IN COLUMN D"</formula>
    </cfRule>
  </conditionalFormatting>
  <conditionalFormatting sqref="P146">
    <cfRule type="cellIs" dxfId="7566" priority="244" stopIfTrue="1" operator="equal">
      <formula>"INPUT STARTER IN COLUMN D"</formula>
    </cfRule>
  </conditionalFormatting>
  <conditionalFormatting sqref="P147">
    <cfRule type="cellIs" dxfId="7565" priority="243" stopIfTrue="1" operator="equal">
      <formula>"INPUT STARTER IN COLUMN D"</formula>
    </cfRule>
  </conditionalFormatting>
  <conditionalFormatting sqref="P148">
    <cfRule type="cellIs" dxfId="7564" priority="242" stopIfTrue="1" operator="equal">
      <formula>"INPUT STARTER IN COLUMN D"</formula>
    </cfRule>
  </conditionalFormatting>
  <conditionalFormatting sqref="P149">
    <cfRule type="cellIs" dxfId="7563" priority="241" stopIfTrue="1" operator="equal">
      <formula>"INPUT STARTER IN COLUMN D"</formula>
    </cfRule>
  </conditionalFormatting>
  <conditionalFormatting sqref="P150">
    <cfRule type="cellIs" dxfId="7562" priority="240" stopIfTrue="1" operator="equal">
      <formula>"INPUT STARTER IN COLUMN D"</formula>
    </cfRule>
  </conditionalFormatting>
  <conditionalFormatting sqref="P151">
    <cfRule type="cellIs" dxfId="7561" priority="239" stopIfTrue="1" operator="equal">
      <formula>"INPUT STARTER IN COLUMN D"</formula>
    </cfRule>
  </conditionalFormatting>
  <conditionalFormatting sqref="P152">
    <cfRule type="cellIs" dxfId="7560" priority="238" stopIfTrue="1" operator="equal">
      <formula>"INPUT STARTER IN COLUMN D"</formula>
    </cfRule>
  </conditionalFormatting>
  <conditionalFormatting sqref="P153">
    <cfRule type="cellIs" dxfId="7559" priority="237" stopIfTrue="1" operator="equal">
      <formula>"INPUT STARTER IN COLUMN D"</formula>
    </cfRule>
  </conditionalFormatting>
  <conditionalFormatting sqref="P154">
    <cfRule type="cellIs" dxfId="7558" priority="236" stopIfTrue="1" operator="equal">
      <formula>"INPUT STARTER IN COLUMN D"</formula>
    </cfRule>
  </conditionalFormatting>
  <conditionalFormatting sqref="P155">
    <cfRule type="cellIs" dxfId="7557" priority="235" stopIfTrue="1" operator="equal">
      <formula>"INPUT STARTER IN COLUMN D"</formula>
    </cfRule>
  </conditionalFormatting>
  <conditionalFormatting sqref="P157">
    <cfRule type="cellIs" dxfId="7556" priority="234" stopIfTrue="1" operator="equal">
      <formula>"INPUT STARTER IN COLUMN D"</formula>
    </cfRule>
  </conditionalFormatting>
  <conditionalFormatting sqref="P158">
    <cfRule type="cellIs" dxfId="7555" priority="233" stopIfTrue="1" operator="equal">
      <formula>"INPUT STARTER IN COLUMN D"</formula>
    </cfRule>
  </conditionalFormatting>
  <conditionalFormatting sqref="P159">
    <cfRule type="cellIs" dxfId="7554" priority="232" stopIfTrue="1" operator="equal">
      <formula>"INPUT STARTER IN COLUMN D"</formula>
    </cfRule>
  </conditionalFormatting>
  <conditionalFormatting sqref="P160">
    <cfRule type="cellIs" dxfId="7553" priority="231" stopIfTrue="1" operator="equal">
      <formula>"INPUT STARTER IN COLUMN D"</formula>
    </cfRule>
  </conditionalFormatting>
  <conditionalFormatting sqref="P161">
    <cfRule type="cellIs" dxfId="7552" priority="230" stopIfTrue="1" operator="equal">
      <formula>"INPUT STARTER IN COLUMN D"</formula>
    </cfRule>
  </conditionalFormatting>
  <conditionalFormatting sqref="P162">
    <cfRule type="cellIs" dxfId="7551" priority="229" stopIfTrue="1" operator="equal">
      <formula>"INPUT STARTER IN COLUMN D"</formula>
    </cfRule>
  </conditionalFormatting>
  <conditionalFormatting sqref="P163">
    <cfRule type="cellIs" dxfId="7550" priority="228" stopIfTrue="1" operator="equal">
      <formula>"INPUT STARTER IN COLUMN D"</formula>
    </cfRule>
  </conditionalFormatting>
  <conditionalFormatting sqref="P165">
    <cfRule type="cellIs" dxfId="7549" priority="227" stopIfTrue="1" operator="equal">
      <formula>"INPUT STARTER IN COLUMN D"</formula>
    </cfRule>
  </conditionalFormatting>
  <conditionalFormatting sqref="P166">
    <cfRule type="cellIs" dxfId="7548" priority="226" stopIfTrue="1" operator="equal">
      <formula>"INPUT STARTER IN COLUMN D"</formula>
    </cfRule>
  </conditionalFormatting>
  <conditionalFormatting sqref="P167">
    <cfRule type="cellIs" dxfId="7547" priority="225" stopIfTrue="1" operator="equal">
      <formula>"INPUT STARTER IN COLUMN D"</formula>
    </cfRule>
  </conditionalFormatting>
  <conditionalFormatting sqref="P168">
    <cfRule type="cellIs" dxfId="7546" priority="224" stopIfTrue="1" operator="equal">
      <formula>"INPUT STARTER IN COLUMN D"</formula>
    </cfRule>
  </conditionalFormatting>
  <conditionalFormatting sqref="P169">
    <cfRule type="cellIs" dxfId="7545" priority="223" stopIfTrue="1" operator="equal">
      <formula>"INPUT STARTER IN COLUMN D"</formula>
    </cfRule>
  </conditionalFormatting>
  <conditionalFormatting sqref="P170">
    <cfRule type="cellIs" dxfId="7544" priority="222" stopIfTrue="1" operator="equal">
      <formula>"INPUT STARTER IN COLUMN D"</formula>
    </cfRule>
  </conditionalFormatting>
  <conditionalFormatting sqref="P171">
    <cfRule type="cellIs" dxfId="7543" priority="221" stopIfTrue="1" operator="equal">
      <formula>"INPUT STARTER IN COLUMN D"</formula>
    </cfRule>
  </conditionalFormatting>
  <conditionalFormatting sqref="P172">
    <cfRule type="cellIs" dxfId="7542" priority="220" stopIfTrue="1" operator="equal">
      <formula>"INPUT STARTER IN COLUMN D"</formula>
    </cfRule>
  </conditionalFormatting>
  <conditionalFormatting sqref="P173">
    <cfRule type="cellIs" dxfId="7541" priority="219" stopIfTrue="1" operator="equal">
      <formula>"INPUT STARTER IN COLUMN D"</formula>
    </cfRule>
  </conditionalFormatting>
  <conditionalFormatting sqref="P174">
    <cfRule type="cellIs" dxfId="7540" priority="218" stopIfTrue="1" operator="equal">
      <formula>"INPUT STARTER IN COLUMN D"</formula>
    </cfRule>
  </conditionalFormatting>
  <conditionalFormatting sqref="P176">
    <cfRule type="cellIs" dxfId="7539" priority="217" stopIfTrue="1" operator="equal">
      <formula>"INPUT STARTER IN COLUMN D"</formula>
    </cfRule>
  </conditionalFormatting>
  <conditionalFormatting sqref="P177">
    <cfRule type="cellIs" dxfId="7538" priority="216" stopIfTrue="1" operator="equal">
      <formula>"INPUT STARTER IN COLUMN D"</formula>
    </cfRule>
  </conditionalFormatting>
  <conditionalFormatting sqref="P178">
    <cfRule type="cellIs" dxfId="7537" priority="215" stopIfTrue="1" operator="equal">
      <formula>"INPUT STARTER IN COLUMN D"</formula>
    </cfRule>
  </conditionalFormatting>
  <conditionalFormatting sqref="P179">
    <cfRule type="cellIs" dxfId="7536" priority="214" stopIfTrue="1" operator="equal">
      <formula>"INPUT STARTER IN COLUMN D"</formula>
    </cfRule>
  </conditionalFormatting>
  <conditionalFormatting sqref="P180">
    <cfRule type="cellIs" dxfId="7535" priority="213" stopIfTrue="1" operator="equal">
      <formula>"INPUT STARTER IN COLUMN D"</formula>
    </cfRule>
  </conditionalFormatting>
  <conditionalFormatting sqref="P181">
    <cfRule type="cellIs" dxfId="7534" priority="212" stopIfTrue="1" operator="equal">
      <formula>"INPUT STARTER IN COLUMN D"</formula>
    </cfRule>
  </conditionalFormatting>
  <conditionalFormatting sqref="P182">
    <cfRule type="cellIs" dxfId="7533" priority="211" stopIfTrue="1" operator="equal">
      <formula>"INPUT STARTER IN COLUMN D"</formula>
    </cfRule>
  </conditionalFormatting>
  <conditionalFormatting sqref="P183">
    <cfRule type="cellIs" dxfId="7532" priority="210" stopIfTrue="1" operator="equal">
      <formula>"INPUT STARTER IN COLUMN D"</formula>
    </cfRule>
  </conditionalFormatting>
  <conditionalFormatting sqref="P184">
    <cfRule type="cellIs" dxfId="7531" priority="209" stopIfTrue="1" operator="equal">
      <formula>"INPUT STARTER IN COLUMN D"</formula>
    </cfRule>
  </conditionalFormatting>
  <conditionalFormatting sqref="P185">
    <cfRule type="cellIs" dxfId="7530" priority="208" stopIfTrue="1" operator="equal">
      <formula>"INPUT STARTER IN COLUMN D"</formula>
    </cfRule>
  </conditionalFormatting>
  <conditionalFormatting sqref="AK3:AK22">
    <cfRule type="cellIs" dxfId="7529" priority="207" stopIfTrue="1" operator="equal">
      <formula>"must average at least 5 innings per start"</formula>
    </cfRule>
  </conditionalFormatting>
  <conditionalFormatting sqref="AK23">
    <cfRule type="cellIs" dxfId="7528" priority="206" stopIfTrue="1" operator="equal">
      <formula>"must have 162 starts"</formula>
    </cfRule>
  </conditionalFormatting>
  <conditionalFormatting sqref="AH3:AH22">
    <cfRule type="cellIs" dxfId="7527" priority="205" stopIfTrue="1" operator="equal">
      <formula>"must average at least 5 innings per start"</formula>
    </cfRule>
  </conditionalFormatting>
  <conditionalFormatting sqref="AH23">
    <cfRule type="cellIs" dxfId="7526" priority="204" stopIfTrue="1" operator="equal">
      <formula>"must have 162 starts"</formula>
    </cfRule>
  </conditionalFormatting>
  <conditionalFormatting sqref="AG3:AG22">
    <cfRule type="cellIs" dxfId="7525" priority="203" stopIfTrue="1" operator="equal">
      <formula>"must average at least 5 innings per start"</formula>
    </cfRule>
  </conditionalFormatting>
  <conditionalFormatting sqref="AG23">
    <cfRule type="cellIs" dxfId="7524" priority="202" stopIfTrue="1" operator="equal">
      <formula>"must have 162 starts"</formula>
    </cfRule>
  </conditionalFormatting>
  <conditionalFormatting sqref="AK3:AK22">
    <cfRule type="cellIs" dxfId="7523" priority="201" stopIfTrue="1" operator="equal">
      <formula>"must average at least 5 innings per start"</formula>
    </cfRule>
  </conditionalFormatting>
  <conditionalFormatting sqref="AK23">
    <cfRule type="cellIs" dxfId="7522" priority="200" stopIfTrue="1" operator="equal">
      <formula>"must have 162 starts"</formula>
    </cfRule>
  </conditionalFormatting>
  <conditionalFormatting sqref="AH3:AH22">
    <cfRule type="cellIs" dxfId="7521" priority="199" stopIfTrue="1" operator="equal">
      <formula>"must average at least 5 innings per start"</formula>
    </cfRule>
  </conditionalFormatting>
  <conditionalFormatting sqref="AH23">
    <cfRule type="cellIs" dxfId="7520" priority="198" stopIfTrue="1" operator="equal">
      <formula>"must have 162 starts"</formula>
    </cfRule>
  </conditionalFormatting>
  <conditionalFormatting sqref="AG3:AG22">
    <cfRule type="cellIs" dxfId="7519" priority="197" stopIfTrue="1" operator="equal">
      <formula>"must average at least 5 innings per start"</formula>
    </cfRule>
  </conditionalFormatting>
  <conditionalFormatting sqref="AG23">
    <cfRule type="cellIs" dxfId="7518" priority="196" stopIfTrue="1" operator="equal">
      <formula>"must have 162 starts"</formula>
    </cfRule>
  </conditionalFormatting>
  <conditionalFormatting sqref="AK3:AK22">
    <cfRule type="cellIs" dxfId="7517" priority="195" stopIfTrue="1" operator="equal">
      <formula>"must average at least 5 innings per start"</formula>
    </cfRule>
  </conditionalFormatting>
  <conditionalFormatting sqref="AK23">
    <cfRule type="cellIs" dxfId="7516" priority="194" stopIfTrue="1" operator="equal">
      <formula>"must have 162 starts"</formula>
    </cfRule>
  </conditionalFormatting>
  <conditionalFormatting sqref="AH3:AH22">
    <cfRule type="cellIs" dxfId="7515" priority="193" stopIfTrue="1" operator="equal">
      <formula>"must average at least 5 innings per start"</formula>
    </cfRule>
  </conditionalFormatting>
  <conditionalFormatting sqref="AH23">
    <cfRule type="cellIs" dxfId="7514" priority="192" stopIfTrue="1" operator="equal">
      <formula>"must have 162 starts"</formula>
    </cfRule>
  </conditionalFormatting>
  <conditionalFormatting sqref="AG3:AG22">
    <cfRule type="cellIs" dxfId="7513" priority="191" stopIfTrue="1" operator="equal">
      <formula>"must average at least 5 innings per start"</formula>
    </cfRule>
  </conditionalFormatting>
  <conditionalFormatting sqref="AG23">
    <cfRule type="cellIs" dxfId="7512" priority="190" stopIfTrue="1" operator="equal">
      <formula>"must have 162 starts"</formula>
    </cfRule>
  </conditionalFormatting>
  <conditionalFormatting sqref="AK3:AK22">
    <cfRule type="cellIs" dxfId="7511" priority="189" stopIfTrue="1" operator="equal">
      <formula>"must average at least 5 innings per start"</formula>
    </cfRule>
  </conditionalFormatting>
  <conditionalFormatting sqref="AK23">
    <cfRule type="cellIs" dxfId="7510" priority="188" stopIfTrue="1" operator="equal">
      <formula>"must have 162 starts"</formula>
    </cfRule>
  </conditionalFormatting>
  <conditionalFormatting sqref="AH3:AH22">
    <cfRule type="cellIs" dxfId="7509" priority="187" stopIfTrue="1" operator="equal">
      <formula>"must average at least 5 innings per start"</formula>
    </cfRule>
  </conditionalFormatting>
  <conditionalFormatting sqref="AH23">
    <cfRule type="cellIs" dxfId="7508" priority="186" stopIfTrue="1" operator="equal">
      <formula>"must have 162 starts"</formula>
    </cfRule>
  </conditionalFormatting>
  <conditionalFormatting sqref="AG3:AG22">
    <cfRule type="cellIs" dxfId="7507" priority="185" stopIfTrue="1" operator="equal">
      <formula>"must average at least 5 innings per start"</formula>
    </cfRule>
  </conditionalFormatting>
  <conditionalFormatting sqref="AG23">
    <cfRule type="cellIs" dxfId="7506" priority="184" stopIfTrue="1" operator="equal">
      <formula>"must have 162 starts"</formula>
    </cfRule>
  </conditionalFormatting>
  <conditionalFormatting sqref="AK3:AK22">
    <cfRule type="cellIs" dxfId="7505" priority="183" stopIfTrue="1" operator="equal">
      <formula>"must average at least 5 innings per start"</formula>
    </cfRule>
  </conditionalFormatting>
  <conditionalFormatting sqref="AK23">
    <cfRule type="cellIs" dxfId="7504" priority="182" stopIfTrue="1" operator="equal">
      <formula>"must have 162 starts"</formula>
    </cfRule>
  </conditionalFormatting>
  <conditionalFormatting sqref="AH3:AH22">
    <cfRule type="cellIs" dxfId="7503" priority="181" stopIfTrue="1" operator="equal">
      <formula>"must average at least 5 innings per start"</formula>
    </cfRule>
  </conditionalFormatting>
  <conditionalFormatting sqref="AH23">
    <cfRule type="cellIs" dxfId="7502" priority="180" stopIfTrue="1" operator="equal">
      <formula>"must have 162 starts"</formula>
    </cfRule>
  </conditionalFormatting>
  <conditionalFormatting sqref="AG3:AG22">
    <cfRule type="cellIs" dxfId="7501" priority="179" stopIfTrue="1" operator="equal">
      <formula>"must average at least 5 innings per start"</formula>
    </cfRule>
  </conditionalFormatting>
  <conditionalFormatting sqref="AG23">
    <cfRule type="cellIs" dxfId="7500" priority="178" stopIfTrue="1" operator="equal">
      <formula>"must have 162 starts"</formula>
    </cfRule>
  </conditionalFormatting>
  <conditionalFormatting sqref="AK3:AK22">
    <cfRule type="cellIs" dxfId="7499" priority="177" stopIfTrue="1" operator="equal">
      <formula>"must average at least 5 innings per start"</formula>
    </cfRule>
  </conditionalFormatting>
  <conditionalFormatting sqref="AK23">
    <cfRule type="cellIs" dxfId="7498" priority="176" stopIfTrue="1" operator="equal">
      <formula>"must have 162 starts"</formula>
    </cfRule>
  </conditionalFormatting>
  <conditionalFormatting sqref="AH3:AH22">
    <cfRule type="cellIs" dxfId="7497" priority="175" stopIfTrue="1" operator="equal">
      <formula>"must average at least 5 innings per start"</formula>
    </cfRule>
  </conditionalFormatting>
  <conditionalFormatting sqref="AH23">
    <cfRule type="cellIs" dxfId="7496" priority="174" stopIfTrue="1" operator="equal">
      <formula>"must have 162 starts"</formula>
    </cfRule>
  </conditionalFormatting>
  <conditionalFormatting sqref="AG3:AG22">
    <cfRule type="cellIs" dxfId="7495" priority="173" stopIfTrue="1" operator="equal">
      <formula>"must average at least 5 innings per start"</formula>
    </cfRule>
  </conditionalFormatting>
  <conditionalFormatting sqref="AG23">
    <cfRule type="cellIs" dxfId="7494" priority="172" stopIfTrue="1" operator="equal">
      <formula>"must have 162 starts"</formula>
    </cfRule>
  </conditionalFormatting>
  <conditionalFormatting sqref="AK3:AK22">
    <cfRule type="cellIs" dxfId="7493" priority="171" stopIfTrue="1" operator="equal">
      <formula>"must average at least 5 innings per start"</formula>
    </cfRule>
  </conditionalFormatting>
  <conditionalFormatting sqref="AK23">
    <cfRule type="cellIs" dxfId="7492" priority="170" stopIfTrue="1" operator="equal">
      <formula>"must have 162 starts"</formula>
    </cfRule>
  </conditionalFormatting>
  <conditionalFormatting sqref="AH3:AH22">
    <cfRule type="cellIs" dxfId="7491" priority="169" stopIfTrue="1" operator="equal">
      <formula>"must average at least 5 innings per start"</formula>
    </cfRule>
  </conditionalFormatting>
  <conditionalFormatting sqref="AH23">
    <cfRule type="cellIs" dxfId="7490" priority="168" stopIfTrue="1" operator="equal">
      <formula>"must have 162 starts"</formula>
    </cfRule>
  </conditionalFormatting>
  <conditionalFormatting sqref="AG3:AG22">
    <cfRule type="cellIs" dxfId="7489" priority="167" stopIfTrue="1" operator="equal">
      <formula>"must average at least 5 innings per start"</formula>
    </cfRule>
  </conditionalFormatting>
  <conditionalFormatting sqref="AG23">
    <cfRule type="cellIs" dxfId="7488" priority="166" stopIfTrue="1" operator="equal">
      <formula>"must have 162 starts"</formula>
    </cfRule>
  </conditionalFormatting>
  <conditionalFormatting sqref="AK3:AK22">
    <cfRule type="cellIs" dxfId="7487" priority="165" stopIfTrue="1" operator="equal">
      <formula>"must average at least 5 innings per start"</formula>
    </cfRule>
  </conditionalFormatting>
  <conditionalFormatting sqref="AK23">
    <cfRule type="cellIs" dxfId="7486" priority="164" stopIfTrue="1" operator="equal">
      <formula>"must have 162 starts"</formula>
    </cfRule>
  </conditionalFormatting>
  <conditionalFormatting sqref="AH3:AH22">
    <cfRule type="cellIs" dxfId="7485" priority="163" stopIfTrue="1" operator="equal">
      <formula>"must average at least 5 innings per start"</formula>
    </cfRule>
  </conditionalFormatting>
  <conditionalFormatting sqref="AH23">
    <cfRule type="cellIs" dxfId="7484" priority="162" stopIfTrue="1" operator="equal">
      <formula>"must have 162 starts"</formula>
    </cfRule>
  </conditionalFormatting>
  <conditionalFormatting sqref="AG3:AG22">
    <cfRule type="cellIs" dxfId="7483" priority="161" stopIfTrue="1" operator="equal">
      <formula>"must average at least 5 innings per start"</formula>
    </cfRule>
  </conditionalFormatting>
  <conditionalFormatting sqref="AG23">
    <cfRule type="cellIs" dxfId="7482" priority="160" stopIfTrue="1" operator="equal">
      <formula>"must have 162 starts"</formula>
    </cfRule>
  </conditionalFormatting>
  <conditionalFormatting sqref="AK3:AK22">
    <cfRule type="cellIs" dxfId="7481" priority="159" stopIfTrue="1" operator="equal">
      <formula>"must average at least 5 innings per start"</formula>
    </cfRule>
  </conditionalFormatting>
  <conditionalFormatting sqref="AK23">
    <cfRule type="cellIs" dxfId="7480" priority="158" stopIfTrue="1" operator="equal">
      <formula>"must have 162 starts"</formula>
    </cfRule>
  </conditionalFormatting>
  <conditionalFormatting sqref="AH3:AH22">
    <cfRule type="cellIs" dxfId="7479" priority="157" stopIfTrue="1" operator="equal">
      <formula>"must average at least 5 innings per start"</formula>
    </cfRule>
  </conditionalFormatting>
  <conditionalFormatting sqref="AH23">
    <cfRule type="cellIs" dxfId="7478" priority="156" stopIfTrue="1" operator="equal">
      <formula>"must have 162 starts"</formula>
    </cfRule>
  </conditionalFormatting>
  <conditionalFormatting sqref="AG3:AG22">
    <cfRule type="cellIs" dxfId="7477" priority="155" stopIfTrue="1" operator="equal">
      <formula>"must average at least 5 innings per start"</formula>
    </cfRule>
  </conditionalFormatting>
  <conditionalFormatting sqref="AG23">
    <cfRule type="cellIs" dxfId="7476" priority="154" stopIfTrue="1" operator="equal">
      <formula>"must have 162 starts"</formula>
    </cfRule>
  </conditionalFormatting>
  <conditionalFormatting sqref="AK3:AK22">
    <cfRule type="cellIs" dxfId="7475" priority="153" stopIfTrue="1" operator="equal">
      <formula>"must average at least 5 innings per start"</formula>
    </cfRule>
  </conditionalFormatting>
  <conditionalFormatting sqref="AK23">
    <cfRule type="cellIs" dxfId="7474" priority="152" stopIfTrue="1" operator="equal">
      <formula>"must have 162 starts"</formula>
    </cfRule>
  </conditionalFormatting>
  <conditionalFormatting sqref="AH3:AH22">
    <cfRule type="cellIs" dxfId="7473" priority="151" stopIfTrue="1" operator="equal">
      <formula>"must average at least 5 innings per start"</formula>
    </cfRule>
  </conditionalFormatting>
  <conditionalFormatting sqref="AH23">
    <cfRule type="cellIs" dxfId="7472" priority="150" stopIfTrue="1" operator="equal">
      <formula>"must have 162 starts"</formula>
    </cfRule>
  </conditionalFormatting>
  <conditionalFormatting sqref="AG3:AG22">
    <cfRule type="cellIs" dxfId="7471" priority="149" stopIfTrue="1" operator="equal">
      <formula>"must average at least 5 innings per start"</formula>
    </cfRule>
  </conditionalFormatting>
  <conditionalFormatting sqref="AG23">
    <cfRule type="cellIs" dxfId="7470" priority="148" stopIfTrue="1" operator="equal">
      <formula>"must have 162 starts"</formula>
    </cfRule>
  </conditionalFormatting>
  <conditionalFormatting sqref="AK3:AK22">
    <cfRule type="cellIs" dxfId="7469" priority="147" stopIfTrue="1" operator="equal">
      <formula>"must average at least 5 innings per start"</formula>
    </cfRule>
  </conditionalFormatting>
  <conditionalFormatting sqref="AK23">
    <cfRule type="cellIs" dxfId="7468" priority="146" stopIfTrue="1" operator="equal">
      <formula>"must have 162 starts"</formula>
    </cfRule>
  </conditionalFormatting>
  <conditionalFormatting sqref="AH3:AH22">
    <cfRule type="cellIs" dxfId="7467" priority="145" stopIfTrue="1" operator="equal">
      <formula>"must average at least 5 innings per start"</formula>
    </cfRule>
  </conditionalFormatting>
  <conditionalFormatting sqref="AH23">
    <cfRule type="cellIs" dxfId="7466" priority="144" stopIfTrue="1" operator="equal">
      <formula>"must have 162 starts"</formula>
    </cfRule>
  </conditionalFormatting>
  <conditionalFormatting sqref="AG3:AG22">
    <cfRule type="cellIs" dxfId="7465" priority="143" stopIfTrue="1" operator="equal">
      <formula>"must average at least 5 innings per start"</formula>
    </cfRule>
  </conditionalFormatting>
  <conditionalFormatting sqref="AG23">
    <cfRule type="cellIs" dxfId="7464" priority="142" stopIfTrue="1" operator="equal">
      <formula>"must have 162 starts"</formula>
    </cfRule>
  </conditionalFormatting>
  <conditionalFormatting sqref="AK3:AK22">
    <cfRule type="cellIs" dxfId="7463" priority="141" stopIfTrue="1" operator="equal">
      <formula>"must average at least 5 innings per start"</formula>
    </cfRule>
  </conditionalFormatting>
  <conditionalFormatting sqref="AK23">
    <cfRule type="cellIs" dxfId="7462" priority="140" stopIfTrue="1" operator="equal">
      <formula>"must have 162 starts"</formula>
    </cfRule>
  </conditionalFormatting>
  <conditionalFormatting sqref="AH3:AH22">
    <cfRule type="cellIs" dxfId="7461" priority="139" stopIfTrue="1" operator="equal">
      <formula>"must average at least 5 innings per start"</formula>
    </cfRule>
  </conditionalFormatting>
  <conditionalFormatting sqref="AH23">
    <cfRule type="cellIs" dxfId="7460" priority="138" stopIfTrue="1" operator="equal">
      <formula>"must have 162 starts"</formula>
    </cfRule>
  </conditionalFormatting>
  <conditionalFormatting sqref="AG3:AG22">
    <cfRule type="cellIs" dxfId="7459" priority="137" stopIfTrue="1" operator="equal">
      <formula>"must average at least 5 innings per start"</formula>
    </cfRule>
  </conditionalFormatting>
  <conditionalFormatting sqref="AG23">
    <cfRule type="cellIs" dxfId="7458" priority="136" stopIfTrue="1" operator="equal">
      <formula>"must have 162 starts"</formula>
    </cfRule>
  </conditionalFormatting>
  <conditionalFormatting sqref="AK3:AK22">
    <cfRule type="cellIs" dxfId="7457" priority="135" stopIfTrue="1" operator="equal">
      <formula>"must average at least 5 innings per start"</formula>
    </cfRule>
  </conditionalFormatting>
  <conditionalFormatting sqref="AK23">
    <cfRule type="cellIs" dxfId="7456" priority="134" stopIfTrue="1" operator="equal">
      <formula>"must have 162 starts"</formula>
    </cfRule>
  </conditionalFormatting>
  <conditionalFormatting sqref="AH3:AH22">
    <cfRule type="cellIs" dxfId="7455" priority="133" stopIfTrue="1" operator="equal">
      <formula>"must average at least 5 innings per start"</formula>
    </cfRule>
  </conditionalFormatting>
  <conditionalFormatting sqref="AH23">
    <cfRule type="cellIs" dxfId="7454" priority="132" stopIfTrue="1" operator="equal">
      <formula>"must have 162 starts"</formula>
    </cfRule>
  </conditionalFormatting>
  <conditionalFormatting sqref="AG3:AG22">
    <cfRule type="cellIs" dxfId="7453" priority="131" stopIfTrue="1" operator="equal">
      <formula>"must average at least 5 innings per start"</formula>
    </cfRule>
  </conditionalFormatting>
  <conditionalFormatting sqref="AG23">
    <cfRule type="cellIs" dxfId="7452" priority="130" stopIfTrue="1" operator="equal">
      <formula>"must have 162 starts"</formula>
    </cfRule>
  </conditionalFormatting>
  <conditionalFormatting sqref="AK3:AK22">
    <cfRule type="cellIs" dxfId="7451" priority="129" stopIfTrue="1" operator="equal">
      <formula>"must average at least 5 innings per start"</formula>
    </cfRule>
  </conditionalFormatting>
  <conditionalFormatting sqref="AK23">
    <cfRule type="cellIs" dxfId="7450" priority="128" stopIfTrue="1" operator="equal">
      <formula>"must have 162 starts"</formula>
    </cfRule>
  </conditionalFormatting>
  <conditionalFormatting sqref="AH3:AH22">
    <cfRule type="cellIs" dxfId="7449" priority="127" stopIfTrue="1" operator="equal">
      <formula>"must average at least 5 innings per start"</formula>
    </cfRule>
  </conditionalFormatting>
  <conditionalFormatting sqref="AH23">
    <cfRule type="cellIs" dxfId="7448" priority="126" stopIfTrue="1" operator="equal">
      <formula>"must have 162 starts"</formula>
    </cfRule>
  </conditionalFormatting>
  <conditionalFormatting sqref="AG3:AG22">
    <cfRule type="cellIs" dxfId="7447" priority="125" stopIfTrue="1" operator="equal">
      <formula>"must average at least 5 innings per start"</formula>
    </cfRule>
  </conditionalFormatting>
  <conditionalFormatting sqref="AG23">
    <cfRule type="cellIs" dxfId="7446" priority="124" stopIfTrue="1" operator="equal">
      <formula>"must have 162 starts"</formula>
    </cfRule>
  </conditionalFormatting>
  <conditionalFormatting sqref="AK3:AK22">
    <cfRule type="cellIs" dxfId="7445" priority="123" stopIfTrue="1" operator="equal">
      <formula>"must average at least 5 innings per start"</formula>
    </cfRule>
  </conditionalFormatting>
  <conditionalFormatting sqref="AK23">
    <cfRule type="cellIs" dxfId="7444" priority="122" stopIfTrue="1" operator="equal">
      <formula>"must have 162 starts"</formula>
    </cfRule>
  </conditionalFormatting>
  <conditionalFormatting sqref="AH3:AH22">
    <cfRule type="cellIs" dxfId="7443" priority="121" stopIfTrue="1" operator="equal">
      <formula>"must average at least 5 innings per start"</formula>
    </cfRule>
  </conditionalFormatting>
  <conditionalFormatting sqref="AH23">
    <cfRule type="cellIs" dxfId="7442" priority="120" stopIfTrue="1" operator="equal">
      <formula>"must have 162 starts"</formula>
    </cfRule>
  </conditionalFormatting>
  <conditionalFormatting sqref="AG3:AG22">
    <cfRule type="cellIs" dxfId="7441" priority="119" stopIfTrue="1" operator="equal">
      <formula>"must average at least 5 innings per start"</formula>
    </cfRule>
  </conditionalFormatting>
  <conditionalFormatting sqref="AG23">
    <cfRule type="cellIs" dxfId="7440" priority="118" stopIfTrue="1" operator="equal">
      <formula>"must have 162 starts"</formula>
    </cfRule>
  </conditionalFormatting>
  <conditionalFormatting sqref="AK3:AK22">
    <cfRule type="cellIs" dxfId="7439" priority="117" stopIfTrue="1" operator="equal">
      <formula>"must average at least 5 innings per start"</formula>
    </cfRule>
  </conditionalFormatting>
  <conditionalFormatting sqref="AK23">
    <cfRule type="cellIs" dxfId="7438" priority="116" stopIfTrue="1" operator="equal">
      <formula>"must have 162 starts"</formula>
    </cfRule>
  </conditionalFormatting>
  <conditionalFormatting sqref="AH3:AH22">
    <cfRule type="cellIs" dxfId="7437" priority="115" stopIfTrue="1" operator="equal">
      <formula>"must average at least 5 innings per start"</formula>
    </cfRule>
  </conditionalFormatting>
  <conditionalFormatting sqref="AH23">
    <cfRule type="cellIs" dxfId="7436" priority="114" stopIfTrue="1" operator="equal">
      <formula>"must have 162 starts"</formula>
    </cfRule>
  </conditionalFormatting>
  <conditionalFormatting sqref="AG3:AG22">
    <cfRule type="cellIs" dxfId="7435" priority="113" stopIfTrue="1" operator="equal">
      <formula>"must average at least 5 innings per start"</formula>
    </cfRule>
  </conditionalFormatting>
  <conditionalFormatting sqref="AG23">
    <cfRule type="cellIs" dxfId="7434" priority="112" stopIfTrue="1" operator="equal">
      <formula>"must have 162 starts"</formula>
    </cfRule>
  </conditionalFormatting>
  <conditionalFormatting sqref="AK3:AK22">
    <cfRule type="cellIs" dxfId="7433" priority="111" stopIfTrue="1" operator="equal">
      <formula>"must average at least 5 innings per start"</formula>
    </cfRule>
  </conditionalFormatting>
  <conditionalFormatting sqref="AK23">
    <cfRule type="cellIs" dxfId="7432" priority="110" stopIfTrue="1" operator="equal">
      <formula>"must have 162 starts"</formula>
    </cfRule>
  </conditionalFormatting>
  <conditionalFormatting sqref="AH3:AH22">
    <cfRule type="cellIs" dxfId="7431" priority="109" stopIfTrue="1" operator="equal">
      <formula>"must average at least 5 innings per start"</formula>
    </cfRule>
  </conditionalFormatting>
  <conditionalFormatting sqref="AH23">
    <cfRule type="cellIs" dxfId="7430" priority="108" stopIfTrue="1" operator="equal">
      <formula>"must have 162 starts"</formula>
    </cfRule>
  </conditionalFormatting>
  <conditionalFormatting sqref="AG3:AG22">
    <cfRule type="cellIs" dxfId="7429" priority="107" stopIfTrue="1" operator="equal">
      <formula>"must average at least 5 innings per start"</formula>
    </cfRule>
  </conditionalFormatting>
  <conditionalFormatting sqref="AG23">
    <cfRule type="cellIs" dxfId="7428" priority="106" stopIfTrue="1" operator="equal">
      <formula>"must have 162 starts"</formula>
    </cfRule>
  </conditionalFormatting>
  <conditionalFormatting sqref="AG3:AG22">
    <cfRule type="cellIs" dxfId="7427" priority="105" stopIfTrue="1" operator="equal">
      <formula>"must average at least 5 innings per start"</formula>
    </cfRule>
  </conditionalFormatting>
  <conditionalFormatting sqref="AG23">
    <cfRule type="cellIs" dxfId="7426" priority="104" stopIfTrue="1" operator="equal">
      <formula>"must have 162 starts"</formula>
    </cfRule>
  </conditionalFormatting>
  <conditionalFormatting sqref="AK3:AK22">
    <cfRule type="cellIs" dxfId="7425" priority="103" stopIfTrue="1" operator="equal">
      <formula>"must average at least 5 innings per start"</formula>
    </cfRule>
  </conditionalFormatting>
  <conditionalFormatting sqref="AK23">
    <cfRule type="cellIs" dxfId="7424" priority="102" stopIfTrue="1" operator="equal">
      <formula>"must have 162 starts"</formula>
    </cfRule>
  </conditionalFormatting>
  <conditionalFormatting sqref="AK3:AK22">
    <cfRule type="cellIs" dxfId="7423" priority="101" stopIfTrue="1" operator="equal">
      <formula>"must average at least 5 innings per start"</formula>
    </cfRule>
  </conditionalFormatting>
  <conditionalFormatting sqref="AK23">
    <cfRule type="cellIs" dxfId="7422" priority="100" stopIfTrue="1" operator="equal">
      <formula>"must have 162 starts"</formula>
    </cfRule>
  </conditionalFormatting>
  <conditionalFormatting sqref="AK3:AK22">
    <cfRule type="cellIs" dxfId="7421" priority="99" stopIfTrue="1" operator="equal">
      <formula>"must average at least 5 innings per start"</formula>
    </cfRule>
  </conditionalFormatting>
  <conditionalFormatting sqref="AK23">
    <cfRule type="cellIs" dxfId="7420" priority="98" stopIfTrue="1" operator="equal">
      <formula>"must have 162 starts"</formula>
    </cfRule>
  </conditionalFormatting>
  <conditionalFormatting sqref="AK3:AK22">
    <cfRule type="cellIs" dxfId="7419" priority="97" stopIfTrue="1" operator="equal">
      <formula>"must average at least 5 innings per start"</formula>
    </cfRule>
  </conditionalFormatting>
  <conditionalFormatting sqref="AK23">
    <cfRule type="cellIs" dxfId="7418" priority="96" stopIfTrue="1" operator="equal">
      <formula>"must have 162 starts"</formula>
    </cfRule>
  </conditionalFormatting>
  <conditionalFormatting sqref="AK3:AK22">
    <cfRule type="cellIs" dxfId="7417" priority="95" stopIfTrue="1" operator="equal">
      <formula>"must average at least 5 innings per start"</formula>
    </cfRule>
  </conditionalFormatting>
  <conditionalFormatting sqref="AK23">
    <cfRule type="cellIs" dxfId="7416" priority="94" stopIfTrue="1" operator="equal">
      <formula>"must have 162 starts"</formula>
    </cfRule>
  </conditionalFormatting>
  <conditionalFormatting sqref="AK3:AK22">
    <cfRule type="cellIs" dxfId="7415" priority="93" stopIfTrue="1" operator="equal">
      <formula>"must average at least 5 innings per start"</formula>
    </cfRule>
  </conditionalFormatting>
  <conditionalFormatting sqref="AK23">
    <cfRule type="cellIs" dxfId="7414" priority="92" stopIfTrue="1" operator="equal">
      <formula>"must have 162 starts"</formula>
    </cfRule>
  </conditionalFormatting>
  <conditionalFormatting sqref="AK3:AK22">
    <cfRule type="cellIs" dxfId="7413" priority="91" stopIfTrue="1" operator="equal">
      <formula>"must average at least 5 innings per start"</formula>
    </cfRule>
  </conditionalFormatting>
  <conditionalFormatting sqref="AK23">
    <cfRule type="cellIs" dxfId="7412" priority="90" stopIfTrue="1" operator="equal">
      <formula>"must have 162 starts"</formula>
    </cfRule>
  </conditionalFormatting>
  <conditionalFormatting sqref="AH3:AH22">
    <cfRule type="cellIs" dxfId="7411" priority="89" stopIfTrue="1" operator="equal">
      <formula>"must average at least 5 innings per start"</formula>
    </cfRule>
  </conditionalFormatting>
  <conditionalFormatting sqref="AH23">
    <cfRule type="cellIs" dxfId="7410" priority="88" stopIfTrue="1" operator="equal">
      <formula>"must have 162 starts"</formula>
    </cfRule>
  </conditionalFormatting>
  <conditionalFormatting sqref="AG3:AG22">
    <cfRule type="cellIs" dxfId="7409" priority="87" stopIfTrue="1" operator="equal">
      <formula>"must average at least 5 innings per start"</formula>
    </cfRule>
  </conditionalFormatting>
  <conditionalFormatting sqref="AG23">
    <cfRule type="cellIs" dxfId="7408" priority="86" stopIfTrue="1" operator="equal">
      <formula>"must have 162 starts"</formula>
    </cfRule>
  </conditionalFormatting>
  <conditionalFormatting sqref="AK3:AK22">
    <cfRule type="cellIs" dxfId="7407" priority="85" stopIfTrue="1" operator="equal">
      <formula>"must average at least 5 innings per start"</formula>
    </cfRule>
  </conditionalFormatting>
  <conditionalFormatting sqref="AK23">
    <cfRule type="cellIs" dxfId="7406" priority="84" stopIfTrue="1" operator="equal">
      <formula>"must have 162 starts"</formula>
    </cfRule>
  </conditionalFormatting>
  <conditionalFormatting sqref="AK3:AK22">
    <cfRule type="cellIs" dxfId="7405" priority="83" stopIfTrue="1" operator="equal">
      <formula>"must average at least 5 innings per start"</formula>
    </cfRule>
  </conditionalFormatting>
  <conditionalFormatting sqref="AK23">
    <cfRule type="cellIs" dxfId="7404" priority="82" stopIfTrue="1" operator="equal">
      <formula>"must have 162 starts"</formula>
    </cfRule>
  </conditionalFormatting>
  <conditionalFormatting sqref="AK3:AK22">
    <cfRule type="cellIs" dxfId="7403" priority="81" stopIfTrue="1" operator="equal">
      <formula>"must average at least 5 innings per start"</formula>
    </cfRule>
  </conditionalFormatting>
  <conditionalFormatting sqref="AK23">
    <cfRule type="cellIs" dxfId="7402" priority="80" stopIfTrue="1" operator="equal">
      <formula>"must have 162 starts"</formula>
    </cfRule>
  </conditionalFormatting>
  <conditionalFormatting sqref="AK3:AK22">
    <cfRule type="cellIs" dxfId="7401" priority="79" stopIfTrue="1" operator="equal">
      <formula>"must average at least 5 innings per start"</formula>
    </cfRule>
  </conditionalFormatting>
  <conditionalFormatting sqref="AK23">
    <cfRule type="cellIs" dxfId="7400" priority="78" stopIfTrue="1" operator="equal">
      <formula>"must have 162 starts"</formula>
    </cfRule>
  </conditionalFormatting>
  <conditionalFormatting sqref="AK3:AK22">
    <cfRule type="cellIs" dxfId="7399" priority="77" stopIfTrue="1" operator="equal">
      <formula>"must average at least 5 innings per start"</formula>
    </cfRule>
  </conditionalFormatting>
  <conditionalFormatting sqref="AK23">
    <cfRule type="cellIs" dxfId="7398" priority="76" stopIfTrue="1" operator="equal">
      <formula>"must have 162 starts"</formula>
    </cfRule>
  </conditionalFormatting>
  <conditionalFormatting sqref="AK3:AK22">
    <cfRule type="cellIs" dxfId="7397" priority="75" stopIfTrue="1" operator="equal">
      <formula>"must average at least 5 innings per start"</formula>
    </cfRule>
  </conditionalFormatting>
  <conditionalFormatting sqref="AK23">
    <cfRule type="cellIs" dxfId="7396" priority="74" stopIfTrue="1" operator="equal">
      <formula>"must have 162 starts"</formula>
    </cfRule>
  </conditionalFormatting>
  <conditionalFormatting sqref="AK3:AK22">
    <cfRule type="cellIs" dxfId="7395" priority="73" stopIfTrue="1" operator="equal">
      <formula>"must average at least 5 innings per start"</formula>
    </cfRule>
  </conditionalFormatting>
  <conditionalFormatting sqref="AK23">
    <cfRule type="cellIs" dxfId="7394" priority="72" stopIfTrue="1" operator="equal">
      <formula>"must have 162 starts"</formula>
    </cfRule>
  </conditionalFormatting>
  <conditionalFormatting sqref="AK3:AK22">
    <cfRule type="cellIs" dxfId="7393" priority="71" stopIfTrue="1" operator="equal">
      <formula>"must average at least 5 innings per start"</formula>
    </cfRule>
  </conditionalFormatting>
  <conditionalFormatting sqref="AK23">
    <cfRule type="cellIs" dxfId="7392" priority="70" stopIfTrue="1" operator="equal">
      <formula>"must have 162 starts"</formula>
    </cfRule>
  </conditionalFormatting>
  <conditionalFormatting sqref="AG3:AG22">
    <cfRule type="cellIs" dxfId="7391" priority="69" stopIfTrue="1" operator="equal">
      <formula>"must average at least 5 innings per start"</formula>
    </cfRule>
  </conditionalFormatting>
  <conditionalFormatting sqref="AG23">
    <cfRule type="cellIs" dxfId="7390" priority="68" stopIfTrue="1" operator="equal">
      <formula>"must have 162 starts"</formula>
    </cfRule>
  </conditionalFormatting>
  <conditionalFormatting sqref="AK3:AK22">
    <cfRule type="cellIs" dxfId="7389" priority="67" stopIfTrue="1" operator="equal">
      <formula>"must average at least 5 innings per start"</formula>
    </cfRule>
  </conditionalFormatting>
  <conditionalFormatting sqref="AK23">
    <cfRule type="cellIs" dxfId="7388" priority="66" stopIfTrue="1" operator="equal">
      <formula>"must have 162 starts"</formula>
    </cfRule>
  </conditionalFormatting>
  <conditionalFormatting sqref="AK3:AK22">
    <cfRule type="cellIs" dxfId="7387" priority="65" stopIfTrue="1" operator="equal">
      <formula>"must average at least 5 innings per start"</formula>
    </cfRule>
  </conditionalFormatting>
  <conditionalFormatting sqref="AK23">
    <cfRule type="cellIs" dxfId="7386" priority="64" stopIfTrue="1" operator="equal">
      <formula>"must have 162 starts"</formula>
    </cfRule>
  </conditionalFormatting>
  <conditionalFormatting sqref="AK3:AK22">
    <cfRule type="cellIs" dxfId="7385" priority="63" stopIfTrue="1" operator="equal">
      <formula>"must average at least 5 innings per start"</formula>
    </cfRule>
  </conditionalFormatting>
  <conditionalFormatting sqref="AK23">
    <cfRule type="cellIs" dxfId="7384" priority="62" stopIfTrue="1" operator="equal">
      <formula>"must have 162 starts"</formula>
    </cfRule>
  </conditionalFormatting>
  <conditionalFormatting sqref="AK3:AK22">
    <cfRule type="cellIs" dxfId="7383" priority="61" stopIfTrue="1" operator="equal">
      <formula>"must average at least 5 innings per start"</formula>
    </cfRule>
  </conditionalFormatting>
  <conditionalFormatting sqref="AK23">
    <cfRule type="cellIs" dxfId="7382" priority="60" stopIfTrue="1" operator="equal">
      <formula>"must have 162 starts"</formula>
    </cfRule>
  </conditionalFormatting>
  <conditionalFormatting sqref="AK3:AK22">
    <cfRule type="cellIs" dxfId="7381" priority="59" stopIfTrue="1" operator="equal">
      <formula>"must average at least 5 innings per start"</formula>
    </cfRule>
  </conditionalFormatting>
  <conditionalFormatting sqref="AK23">
    <cfRule type="cellIs" dxfId="7380" priority="58" stopIfTrue="1" operator="equal">
      <formula>"must have 162 starts"</formula>
    </cfRule>
  </conditionalFormatting>
  <conditionalFormatting sqref="AK3:AK22">
    <cfRule type="cellIs" dxfId="7379" priority="57" stopIfTrue="1" operator="equal">
      <formula>"must average at least 5 innings per start"</formula>
    </cfRule>
  </conditionalFormatting>
  <conditionalFormatting sqref="AK23">
    <cfRule type="cellIs" dxfId="7378" priority="56" stopIfTrue="1" operator="equal">
      <formula>"must have 162 starts"</formula>
    </cfRule>
  </conditionalFormatting>
  <conditionalFormatting sqref="AK3:AK22">
    <cfRule type="cellIs" dxfId="7377" priority="55" stopIfTrue="1" operator="equal">
      <formula>"must average at least 5 innings per start"</formula>
    </cfRule>
  </conditionalFormatting>
  <conditionalFormatting sqref="AK23">
    <cfRule type="cellIs" dxfId="7376" priority="54" stopIfTrue="1" operator="equal">
      <formula>"must have 162 starts"</formula>
    </cfRule>
  </conditionalFormatting>
  <conditionalFormatting sqref="AG3:AG22">
    <cfRule type="cellIs" dxfId="7375" priority="53" stopIfTrue="1" operator="equal">
      <formula>"must average at least 5 innings per start"</formula>
    </cfRule>
  </conditionalFormatting>
  <conditionalFormatting sqref="AG23">
    <cfRule type="cellIs" dxfId="7374" priority="52" stopIfTrue="1" operator="equal">
      <formula>"must have 162 starts"</formula>
    </cfRule>
  </conditionalFormatting>
  <conditionalFormatting sqref="AK3:AK22">
    <cfRule type="cellIs" dxfId="7373" priority="51" stopIfTrue="1" operator="equal">
      <formula>"must average at least 5 innings per start"</formula>
    </cfRule>
  </conditionalFormatting>
  <conditionalFormatting sqref="AK23">
    <cfRule type="cellIs" dxfId="7372" priority="50" stopIfTrue="1" operator="equal">
      <formula>"must have 162 starts"</formula>
    </cfRule>
  </conditionalFormatting>
  <conditionalFormatting sqref="AK3:AK22">
    <cfRule type="cellIs" dxfId="7371" priority="49" stopIfTrue="1" operator="equal">
      <formula>"must average at least 5 innings per start"</formula>
    </cfRule>
  </conditionalFormatting>
  <conditionalFormatting sqref="AK23">
    <cfRule type="cellIs" dxfId="7370" priority="48" stopIfTrue="1" operator="equal">
      <formula>"must have 162 starts"</formula>
    </cfRule>
  </conditionalFormatting>
  <conditionalFormatting sqref="AK3:AK22">
    <cfRule type="cellIs" dxfId="7369" priority="47" stopIfTrue="1" operator="equal">
      <formula>"must average at least 5 innings per start"</formula>
    </cfRule>
  </conditionalFormatting>
  <conditionalFormatting sqref="AK23">
    <cfRule type="cellIs" dxfId="7368" priority="46" stopIfTrue="1" operator="equal">
      <formula>"must have 162 starts"</formula>
    </cfRule>
  </conditionalFormatting>
  <conditionalFormatting sqref="AK3:AK22">
    <cfRule type="cellIs" dxfId="7367" priority="45" stopIfTrue="1" operator="equal">
      <formula>"must average at least 5 innings per start"</formula>
    </cfRule>
  </conditionalFormatting>
  <conditionalFormatting sqref="AK23">
    <cfRule type="cellIs" dxfId="7366" priority="44" stopIfTrue="1" operator="equal">
      <formula>"must have 162 starts"</formula>
    </cfRule>
  </conditionalFormatting>
  <conditionalFormatting sqref="AK3:AK22">
    <cfRule type="cellIs" dxfId="7365" priority="43" stopIfTrue="1" operator="equal">
      <formula>"must average at least 5 innings per start"</formula>
    </cfRule>
  </conditionalFormatting>
  <conditionalFormatting sqref="AK23">
    <cfRule type="cellIs" dxfId="7364" priority="42" stopIfTrue="1" operator="equal">
      <formula>"must have 162 starts"</formula>
    </cfRule>
  </conditionalFormatting>
  <conditionalFormatting sqref="AK3:AK22">
    <cfRule type="cellIs" dxfId="7363" priority="41" stopIfTrue="1" operator="equal">
      <formula>"must average at least 5 innings per start"</formula>
    </cfRule>
  </conditionalFormatting>
  <conditionalFormatting sqref="AK23">
    <cfRule type="cellIs" dxfId="7362" priority="40" stopIfTrue="1" operator="equal">
      <formula>"must have 162 starts"</formula>
    </cfRule>
  </conditionalFormatting>
  <conditionalFormatting sqref="AG3:AG22">
    <cfRule type="cellIs" dxfId="7361" priority="39" stopIfTrue="1" operator="equal">
      <formula>"must average at least 5 innings per start"</formula>
    </cfRule>
  </conditionalFormatting>
  <conditionalFormatting sqref="AG23">
    <cfRule type="cellIs" dxfId="7360" priority="38" stopIfTrue="1" operator="equal">
      <formula>"must have 162 starts"</formula>
    </cfRule>
  </conditionalFormatting>
  <conditionalFormatting sqref="AK3:AK22">
    <cfRule type="cellIs" dxfId="7359" priority="37" stopIfTrue="1" operator="equal">
      <formula>"must average at least 5 innings per start"</formula>
    </cfRule>
  </conditionalFormatting>
  <conditionalFormatting sqref="AK23">
    <cfRule type="cellIs" dxfId="7358" priority="36" stopIfTrue="1" operator="equal">
      <formula>"must have 162 starts"</formula>
    </cfRule>
  </conditionalFormatting>
  <conditionalFormatting sqref="AK3:AK22">
    <cfRule type="cellIs" dxfId="7357" priority="35" stopIfTrue="1" operator="equal">
      <formula>"must average at least 5 innings per start"</formula>
    </cfRule>
  </conditionalFormatting>
  <conditionalFormatting sqref="AK23">
    <cfRule type="cellIs" dxfId="7356" priority="34" stopIfTrue="1" operator="equal">
      <formula>"must have 162 starts"</formula>
    </cfRule>
  </conditionalFormatting>
  <conditionalFormatting sqref="AK3:AK22">
    <cfRule type="cellIs" dxfId="7355" priority="33" stopIfTrue="1" operator="equal">
      <formula>"must average at least 5 innings per start"</formula>
    </cfRule>
  </conditionalFormatting>
  <conditionalFormatting sqref="AK23">
    <cfRule type="cellIs" dxfId="7354" priority="32" stopIfTrue="1" operator="equal">
      <formula>"must have 162 starts"</formula>
    </cfRule>
  </conditionalFormatting>
  <conditionalFormatting sqref="AK3:AK22">
    <cfRule type="cellIs" dxfId="7353" priority="31" stopIfTrue="1" operator="equal">
      <formula>"must average at least 5 innings per start"</formula>
    </cfRule>
  </conditionalFormatting>
  <conditionalFormatting sqref="AK23">
    <cfRule type="cellIs" dxfId="7352" priority="30" stopIfTrue="1" operator="equal">
      <formula>"must have 162 starts"</formula>
    </cfRule>
  </conditionalFormatting>
  <conditionalFormatting sqref="AK3:AK22">
    <cfRule type="cellIs" dxfId="7351" priority="29" stopIfTrue="1" operator="equal">
      <formula>"must average at least 5 innings per start"</formula>
    </cfRule>
  </conditionalFormatting>
  <conditionalFormatting sqref="AK23">
    <cfRule type="cellIs" dxfId="7350" priority="28" stopIfTrue="1" operator="equal">
      <formula>"must have 162 starts"</formula>
    </cfRule>
  </conditionalFormatting>
  <conditionalFormatting sqref="AG3:AG22">
    <cfRule type="cellIs" dxfId="7349" priority="27" stopIfTrue="1" operator="equal">
      <formula>"must average at least 5 innings per start"</formula>
    </cfRule>
  </conditionalFormatting>
  <conditionalFormatting sqref="AG23">
    <cfRule type="cellIs" dxfId="7348" priority="26" stopIfTrue="1" operator="equal">
      <formula>"must have 162 starts"</formula>
    </cfRule>
  </conditionalFormatting>
  <conditionalFormatting sqref="AK3:AK22">
    <cfRule type="cellIs" dxfId="7347" priority="25" stopIfTrue="1" operator="equal">
      <formula>"must average at least 5 innings per start"</formula>
    </cfRule>
  </conditionalFormatting>
  <conditionalFormatting sqref="AK23">
    <cfRule type="cellIs" dxfId="7346" priority="24" stopIfTrue="1" operator="equal">
      <formula>"must have 162 starts"</formula>
    </cfRule>
  </conditionalFormatting>
  <conditionalFormatting sqref="AK3:AK22">
    <cfRule type="cellIs" dxfId="7345" priority="23" stopIfTrue="1" operator="equal">
      <formula>"must average at least 5 innings per start"</formula>
    </cfRule>
  </conditionalFormatting>
  <conditionalFormatting sqref="AK23">
    <cfRule type="cellIs" dxfId="7344" priority="22" stopIfTrue="1" operator="equal">
      <formula>"must have 162 starts"</formula>
    </cfRule>
  </conditionalFormatting>
  <conditionalFormatting sqref="AK3:AK22">
    <cfRule type="cellIs" dxfId="7343" priority="21" stopIfTrue="1" operator="equal">
      <formula>"must average at least 5 innings per start"</formula>
    </cfRule>
  </conditionalFormatting>
  <conditionalFormatting sqref="AK23">
    <cfRule type="cellIs" dxfId="7342" priority="20" stopIfTrue="1" operator="equal">
      <formula>"must have 162 starts"</formula>
    </cfRule>
  </conditionalFormatting>
  <conditionalFormatting sqref="AK3:AK22">
    <cfRule type="cellIs" dxfId="7341" priority="19" stopIfTrue="1" operator="equal">
      <formula>"must average at least 5 innings per start"</formula>
    </cfRule>
  </conditionalFormatting>
  <conditionalFormatting sqref="AK23">
    <cfRule type="cellIs" dxfId="7340" priority="18" stopIfTrue="1" operator="equal">
      <formula>"must have 162 starts"</formula>
    </cfRule>
  </conditionalFormatting>
  <conditionalFormatting sqref="AG3:AG22">
    <cfRule type="cellIs" dxfId="7339" priority="17" stopIfTrue="1" operator="equal">
      <formula>"must average at least 5 innings per start"</formula>
    </cfRule>
  </conditionalFormatting>
  <conditionalFormatting sqref="AG23">
    <cfRule type="cellIs" dxfId="7338" priority="16" stopIfTrue="1" operator="equal">
      <formula>"must have 162 starts"</formula>
    </cfRule>
  </conditionalFormatting>
  <conditionalFormatting sqref="AK3:AK22">
    <cfRule type="cellIs" dxfId="7337" priority="15" stopIfTrue="1" operator="equal">
      <formula>"must average at least 5 innings per start"</formula>
    </cfRule>
  </conditionalFormatting>
  <conditionalFormatting sqref="AK23">
    <cfRule type="cellIs" dxfId="7336" priority="14" stopIfTrue="1" operator="equal">
      <formula>"must have 162 starts"</formula>
    </cfRule>
  </conditionalFormatting>
  <conditionalFormatting sqref="AK3:AK22">
    <cfRule type="cellIs" dxfId="7335" priority="13" stopIfTrue="1" operator="equal">
      <formula>"must average at least 5 innings per start"</formula>
    </cfRule>
  </conditionalFormatting>
  <conditionalFormatting sqref="AK23">
    <cfRule type="cellIs" dxfId="7334" priority="12" stopIfTrue="1" operator="equal">
      <formula>"must have 162 starts"</formula>
    </cfRule>
  </conditionalFormatting>
  <conditionalFormatting sqref="AK3:AK22">
    <cfRule type="cellIs" dxfId="7333" priority="11" stopIfTrue="1" operator="equal">
      <formula>"must average at least 5 innings per start"</formula>
    </cfRule>
  </conditionalFormatting>
  <conditionalFormatting sqref="AK23">
    <cfRule type="cellIs" dxfId="7332" priority="10" stopIfTrue="1" operator="equal">
      <formula>"must have 162 starts"</formula>
    </cfRule>
  </conditionalFormatting>
  <conditionalFormatting sqref="AG3:AG22">
    <cfRule type="cellIs" dxfId="7331" priority="9" stopIfTrue="1" operator="equal">
      <formula>"must average at least 5 innings per start"</formula>
    </cfRule>
  </conditionalFormatting>
  <conditionalFormatting sqref="AG23">
    <cfRule type="cellIs" dxfId="7330" priority="8" stopIfTrue="1" operator="equal">
      <formula>"must have 162 starts"</formula>
    </cfRule>
  </conditionalFormatting>
  <conditionalFormatting sqref="AK3:AK22">
    <cfRule type="cellIs" dxfId="7329" priority="7" stopIfTrue="1" operator="equal">
      <formula>"must average at least 5 innings per start"</formula>
    </cfRule>
  </conditionalFormatting>
  <conditionalFormatting sqref="AK23">
    <cfRule type="cellIs" dxfId="7328" priority="6" stopIfTrue="1" operator="equal">
      <formula>"must have 162 starts"</formula>
    </cfRule>
  </conditionalFormatting>
  <conditionalFormatting sqref="AG3:AG22">
    <cfRule type="cellIs" dxfId="7327" priority="5" stopIfTrue="1" operator="equal">
      <formula>"must average at least 5 innings per start"</formula>
    </cfRule>
  </conditionalFormatting>
  <conditionalFormatting sqref="AG23">
    <cfRule type="cellIs" dxfId="7326" priority="4" stopIfTrue="1" operator="equal">
      <formula>"must have 162 starts"</formula>
    </cfRule>
  </conditionalFormatting>
  <conditionalFormatting sqref="Q2">
    <cfRule type="cellIs" dxfId="7325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19373" divId="ROTcheck_19373" sourceType="sheet" destinationFile="C:\1kading\schedule\skedsha.html"/>
    <webPublishItem id="30427" divId="ROTcheck_30427" sourceType="range" sourceRef="A1:O193" destinationFile="C:\1kading\schedule\skedsha.html"/>
    <webPublishItem id="3011" divId="ROTcheck_3011" sourceType="range" sourceRef="A156:O185" destinationFile="C:\1kading\schedule\skedsha.html"/>
  </webPublishItems>
</worksheet>
</file>

<file path=xl/worksheets/sheet6.xml><?xml version="1.0" encoding="utf-8"?>
<worksheet xmlns="http://schemas.openxmlformats.org/spreadsheetml/2006/main" xmlns:r="http://schemas.openxmlformats.org/officeDocument/2006/relationships">
  <dimension ref="A1:AJ217"/>
  <sheetViews>
    <sheetView zoomScale="75" zoomScaleNormal="75" workbookViewId="0"/>
  </sheetViews>
  <sheetFormatPr defaultRowHeight="11.25"/>
  <cols>
    <col min="1" max="1" width="6.5703125" style="2" customWidth="1"/>
    <col min="2" max="2" width="3.7109375" style="2" customWidth="1"/>
    <col min="3" max="3" width="5.85546875" style="2" customWidth="1"/>
    <col min="4" max="4" width="26.14062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17.57031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41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/>
      <c r="C3" s="33" t="s">
        <v>47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191</v>
      </c>
      <c r="T3" s="44" t="str">
        <f>IF(ISERROR((VLOOKUP(S3,Pitchers!$B$1:H$800,4,FALSE))),"",(VLOOKUP(S3,Pitchers!$B$1:H$800,4,FALSE)))</f>
        <v>PIT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12</v>
      </c>
      <c r="X3" s="47">
        <f>IF(ISERROR((VLOOKUP(S3,Pitchers!B$2:AA$795,11,FALSE))),"",(VLOOKUP(S3,Pitchers!B$2:AA$795,11,FALSE)))</f>
        <v>164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Y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BHB</v>
      </c>
    </row>
    <row r="4" spans="1:36" ht="12.75" customHeight="1">
      <c r="A4" s="6">
        <v>4.0199999999999996</v>
      </c>
      <c r="B4" s="33"/>
      <c r="C4" s="33" t="s">
        <v>47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500</v>
      </c>
      <c r="T4" s="44" t="str">
        <f>IF(ISERROR((VLOOKUP(S4,Pitchers!$B$1:H$800,4,FALSE))),"",(VLOOKUP(S4,Pitchers!$B$1:H$800,4,FALSE)))</f>
        <v>MIN</v>
      </c>
      <c r="U4" s="45" t="str">
        <f>IF(ISERROR((VLOOKUP(S4,Pitchers!B$2:AA$795,10,FALSE))),"",(VLOOKUP(S4,Pitchers!B$2:AA$795,10,FALSE)))</f>
        <v>L</v>
      </c>
      <c r="V4" s="41"/>
      <c r="W4" s="46">
        <f>IF(ISERROR((VLOOKUP(S4,Pitchers!B$2:AA$795,13,FALSE))),"",(VLOOKUP(S4,Pitchers!B$2:AA$795,13,FALSE)))</f>
        <v>9</v>
      </c>
      <c r="X4" s="47">
        <f>IF(ISERROR((VLOOKUP(S4,Pitchers!B$2:AA$795,11,FALSE))),"",(VLOOKUP(S4,Pitchers!B$2:AA$795,11,FALSE)))</f>
        <v>128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 xml:space="preserve"> 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BHB</v>
      </c>
    </row>
    <row r="5" spans="1:36" ht="12.75" customHeight="1">
      <c r="A5" s="6">
        <v>4.03</v>
      </c>
      <c r="B5" s="33"/>
      <c r="C5" s="33" t="s">
        <v>47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689</v>
      </c>
      <c r="T5" s="44" t="str">
        <f>IF(ISERROR((VLOOKUP(S5,Pitchers!$B$1:H$800,4,FALSE))),"",(VLOOKUP(S5,Pitchers!$B$1:H$800,4,FALSE)))</f>
        <v>LAA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8</v>
      </c>
      <c r="X5" s="47">
        <f>IF(ISERROR((VLOOKUP(S5,Pitchers!B$2:AA$795,11,FALSE))),"",(VLOOKUP(S5,Pitchers!B$2:AA$795,11,FALSE)))</f>
        <v>132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Y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BHB</v>
      </c>
    </row>
    <row r="6" spans="1:36" ht="12.75" customHeight="1">
      <c r="A6" s="6">
        <v>4.04</v>
      </c>
      <c r="B6" s="33"/>
      <c r="C6" s="33" t="s">
        <v>47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1231</v>
      </c>
      <c r="T6" s="44" t="str">
        <f>IF(ISERROR((VLOOKUP(S6,Pitchers!$B$1:H$800,4,FALSE))),"",(VLOOKUP(S6,Pitchers!$B$1:H$800,4,FALSE)))</f>
        <v>TEX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8</v>
      </c>
      <c r="X6" s="47">
        <f>IF(ISERROR((VLOOKUP(S6,Pitchers!B$2:AA$795,11,FALSE))),"",(VLOOKUP(S6,Pitchers!B$2:AA$795,11,FALSE)))</f>
        <v>121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 xml:space="preserve"> 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BHB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517</v>
      </c>
      <c r="T7" s="44" t="str">
        <f>IF(ISERROR((VLOOKUP(S7,Pitchers!$B$1:H$800,4,FALSE))),"",(VLOOKUP(S7,Pitchers!$B$1:H$800,4,FALSE)))</f>
        <v>NYM</v>
      </c>
      <c r="U7" s="45" t="str">
        <f>IF(ISERROR((VLOOKUP(S7,Pitchers!B$2:AA$795,10,FALSE))),"",(VLOOKUP(S7,Pitchers!B$2:AA$795,10,FALSE)))</f>
        <v>L</v>
      </c>
      <c r="V7" s="41"/>
      <c r="W7" s="46">
        <f>IF(ISERROR((VLOOKUP(S7,Pitchers!B$2:AA$795,13,FALSE))),"",(VLOOKUP(S7,Pitchers!B$2:AA$795,13,FALSE)))</f>
        <v>6</v>
      </c>
      <c r="X7" s="47">
        <f>IF(ISERROR((VLOOKUP(S7,Pitchers!B$2:AA$795,11,FALSE))),"",(VLOOKUP(S7,Pitchers!B$2:AA$795,11,FALSE)))</f>
        <v>173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 t="s">
        <v>32</v>
      </c>
      <c r="C8" s="33" t="s">
        <v>52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1337</v>
      </c>
      <c r="T8" s="44" t="str">
        <f>IF(ISERROR((VLOOKUP(S8,Pitchers!$B$1:H$800,4,FALSE))),"",(VLOOKUP(S8,Pitchers!$B$1:H$800,4,FALSE)))</f>
        <v>LAD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5</v>
      </c>
      <c r="X8" s="47">
        <f>IF(ISERROR((VLOOKUP(S8,Pitchers!B$2:AA$795,11,FALSE))),"",(VLOOKUP(S8,Pitchers!B$2:AA$795,11,FALSE)))</f>
        <v>72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 xml:space="preserve"> 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BHB</v>
      </c>
    </row>
    <row r="9" spans="1:36" ht="12.75">
      <c r="A9" s="6">
        <v>4.07</v>
      </c>
      <c r="B9" s="33" t="s">
        <v>32</v>
      </c>
      <c r="C9" s="33" t="s">
        <v>52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391</v>
      </c>
      <c r="T9" s="44" t="str">
        <f>IF(ISERROR((VLOOKUP(S9,Pitchers!$B$1:H$800,4,FALSE))),"",(VLOOKUP(S9,Pitchers!$B$1:H$800,4,FALSE)))</f>
        <v>HOU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66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 xml:space="preserve"> 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BHB</v>
      </c>
    </row>
    <row r="10" spans="1:36" ht="12.75">
      <c r="A10" s="6">
        <v>4.08</v>
      </c>
      <c r="B10" s="33" t="s">
        <v>32</v>
      </c>
      <c r="C10" s="33" t="s">
        <v>52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43" t="s">
        <v>325</v>
      </c>
      <c r="T10" s="44" t="str">
        <f>IF(ISERROR((VLOOKUP(S10,Pitchers!$B$1:H$800,4,FALSE))),"",(VLOOKUP(S10,Pitchers!$B$1:H$800,4,FALSE)))</f>
        <v>NYM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2</v>
      </c>
      <c r="X10" s="47">
        <f>IF(ISERROR((VLOOKUP(S10,Pitchers!B$2:AA$795,11,FALSE))),"",(VLOOKUP(S10,Pitchers!B$2:AA$795,11,FALSE)))</f>
        <v>200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>Z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BHB</v>
      </c>
    </row>
    <row r="11" spans="1:36" ht="12.75">
      <c r="A11" s="6">
        <v>4.09</v>
      </c>
      <c r="B11" s="33" t="s">
        <v>32</v>
      </c>
      <c r="C11" s="33" t="s">
        <v>52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68"/>
      <c r="T11" s="44" t="str">
        <f>IF(ISERROR((VLOOKUP(S11,Pitchers!$B$1:H$800,4,FALSE))),"",(VLOOKUP(S11,Pitchers!$B$1:H$800,4,FALSE)))</f>
        <v/>
      </c>
      <c r="U11" s="45" t="str">
        <f>IF(ISERROR((VLOOKUP(S11,Pitchers!B$2:AA$795,10,FALSE))),"",(VLOOKUP(S11,Pitchers!B$2:AA$795,10,FALSE)))</f>
        <v/>
      </c>
      <c r="V11" s="41"/>
      <c r="W11" s="46" t="str">
        <f>IF(ISERROR((VLOOKUP(S11,Pitchers!B$2:AA$795,13,FALSE))),"",(VLOOKUP(S11,Pitchers!B$2:AA$795,13,FALSE)))</f>
        <v/>
      </c>
      <c r="X11" s="47" t="str">
        <f>IF(ISERROR((VLOOKUP(S11,Pitchers!B$2:AA$795,11,FALSE))),"",(VLOOKUP(S11,Pitchers!B$2:AA$795,11,FALSE)))</f>
        <v/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/>
      </c>
      <c r="AC11" s="52" t="str">
        <f>IF(ISERROR((VLOOKUP(S11,Pitchers!B$2:AA$795,17,FALSE))),"",(VLOOKUP(S11,Pitchers!B$2:AA$795,17,FALSE)))</f>
        <v/>
      </c>
      <c r="AD11" s="53" t="str">
        <f>IF(ISERROR((VLOOKUP(S11,Pitchers!B$2:AA$795,18,FALSE))),"",(VLOOKUP(S11,Pitchers!B$2:AA$795,18,FALSE)))</f>
        <v/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BHB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68"/>
      <c r="T12" s="44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40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4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BHB</v>
      </c>
    </row>
    <row r="14" spans="1:36" ht="12.75">
      <c r="A14" s="6">
        <v>4.12</v>
      </c>
      <c r="B14" s="33"/>
      <c r="C14" s="33" t="s">
        <v>40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4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BHB</v>
      </c>
    </row>
    <row r="15" spans="1:36" ht="12.75">
      <c r="A15" s="6">
        <v>4.13</v>
      </c>
      <c r="B15" s="33"/>
      <c r="C15" s="33" t="s">
        <v>40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4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BHB</v>
      </c>
    </row>
    <row r="16" spans="1:36" ht="12.75">
      <c r="A16" s="6">
        <v>4.1399999999999997</v>
      </c>
      <c r="B16" s="33"/>
      <c r="C16" s="33" t="s">
        <v>40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4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BHB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4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 t="s">
        <v>32</v>
      </c>
      <c r="C18" s="33" t="s">
        <v>12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4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BHB</v>
      </c>
    </row>
    <row r="19" spans="1:36" ht="12.75">
      <c r="A19" s="6">
        <v>4.17</v>
      </c>
      <c r="B19" s="33" t="s">
        <v>32</v>
      </c>
      <c r="C19" s="33" t="s">
        <v>12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4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BHB</v>
      </c>
    </row>
    <row r="20" spans="1:36" ht="12.75">
      <c r="A20" s="6">
        <v>4.18</v>
      </c>
      <c r="B20" s="33" t="s">
        <v>32</v>
      </c>
      <c r="C20" s="33" t="s">
        <v>12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4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BHB</v>
      </c>
    </row>
    <row r="21" spans="1:36" ht="12.75">
      <c r="A21" s="6">
        <v>4.1900000000000004</v>
      </c>
      <c r="B21" s="33" t="s">
        <v>32</v>
      </c>
      <c r="C21" s="33" t="s">
        <v>12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4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BHB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2" t="s">
        <v>32</v>
      </c>
      <c r="C23" s="33" t="s">
        <v>42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BHB</v>
      </c>
    </row>
    <row r="24" spans="1:36" ht="12.75">
      <c r="A24" s="6">
        <v>4.22</v>
      </c>
      <c r="B24" s="32" t="s">
        <v>32</v>
      </c>
      <c r="C24" s="33" t="s">
        <v>42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BHB</v>
      </c>
    </row>
    <row r="25" spans="1:36" ht="12.75">
      <c r="A25" s="6">
        <v>4.2300000000000004</v>
      </c>
      <c r="B25" s="32" t="s">
        <v>32</v>
      </c>
      <c r="C25" s="33" t="s">
        <v>42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BHB</v>
      </c>
    </row>
    <row r="26" spans="1:36" ht="12.75">
      <c r="A26" s="6">
        <v>4.24</v>
      </c>
      <c r="B26" s="32" t="s">
        <v>32</v>
      </c>
      <c r="C26" s="33" t="s">
        <v>42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BHB</v>
      </c>
    </row>
    <row r="27" spans="1:36" ht="12.75">
      <c r="A27" s="6">
        <v>4.25</v>
      </c>
      <c r="B27" s="32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3"/>
      <c r="C28" s="33" t="s">
        <v>33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BHB</v>
      </c>
    </row>
    <row r="29" spans="1:36" ht="12.75">
      <c r="A29" s="6">
        <v>4.2699999999999996</v>
      </c>
      <c r="B29" s="33"/>
      <c r="C29" s="33" t="s">
        <v>33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BHB</v>
      </c>
    </row>
    <row r="30" spans="1:36" ht="12.75">
      <c r="A30" s="6">
        <v>4.28</v>
      </c>
      <c r="B30" s="33"/>
      <c r="C30" s="33" t="s">
        <v>33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BHB</v>
      </c>
    </row>
    <row r="31" spans="1:36" ht="12.75">
      <c r="A31" s="6">
        <v>4.29</v>
      </c>
      <c r="B31" s="33"/>
      <c r="C31" s="33" t="s">
        <v>33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BHB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3" t="s">
        <v>32</v>
      </c>
      <c r="C33" s="33" t="s">
        <v>45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BHB</v>
      </c>
    </row>
    <row r="34" spans="1:36" ht="12.75">
      <c r="A34" s="6">
        <v>5.0199999999999996</v>
      </c>
      <c r="B34" s="33" t="s">
        <v>32</v>
      </c>
      <c r="C34" s="33" t="s">
        <v>45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BHB</v>
      </c>
    </row>
    <row r="35" spans="1:36" ht="12.75">
      <c r="A35" s="6">
        <v>5.03</v>
      </c>
      <c r="B35" s="33" t="s">
        <v>32</v>
      </c>
      <c r="C35" s="33" t="s">
        <v>45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BHB</v>
      </c>
    </row>
    <row r="36" spans="1:36" ht="12.75">
      <c r="A36" s="6">
        <v>5.04</v>
      </c>
      <c r="B36" s="33" t="s">
        <v>32</v>
      </c>
      <c r="C36" s="33" t="s">
        <v>45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BHB</v>
      </c>
    </row>
    <row r="37" spans="1:36" ht="12.75">
      <c r="A37" s="6">
        <v>5.05</v>
      </c>
      <c r="B37" s="33" t="s">
        <v>32</v>
      </c>
      <c r="C37" s="33" t="s">
        <v>16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BHB</v>
      </c>
    </row>
    <row r="38" spans="1:36" ht="12.75">
      <c r="A38" s="6">
        <v>5.0599999999999996</v>
      </c>
      <c r="B38" s="33" t="s">
        <v>32</v>
      </c>
      <c r="C38" s="33" t="s">
        <v>16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BHB</v>
      </c>
    </row>
    <row r="39" spans="1:36" ht="12.75">
      <c r="A39" s="6">
        <v>5.07</v>
      </c>
      <c r="B39" s="33" t="s">
        <v>32</v>
      </c>
      <c r="C39" s="33" t="s">
        <v>16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BHB</v>
      </c>
    </row>
    <row r="40" spans="1:36" ht="12.75">
      <c r="A40" s="6">
        <v>5.08</v>
      </c>
      <c r="B40" s="33" t="s">
        <v>32</v>
      </c>
      <c r="C40" s="33" t="s">
        <v>16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BHB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53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BHB</v>
      </c>
    </row>
    <row r="43" spans="1:36" ht="12.75">
      <c r="A43" s="6">
        <v>5.1100000000000003</v>
      </c>
      <c r="B43" s="33"/>
      <c r="C43" s="33" t="s">
        <v>53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BHB</v>
      </c>
    </row>
    <row r="44" spans="1:36" ht="12.75">
      <c r="A44" s="6">
        <v>5.12</v>
      </c>
      <c r="B44" s="33"/>
      <c r="C44" s="33" t="s">
        <v>53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BHB</v>
      </c>
    </row>
    <row r="45" spans="1:36" ht="12.75">
      <c r="A45" s="6">
        <v>5.13</v>
      </c>
      <c r="B45" s="33"/>
      <c r="C45" s="33" t="s">
        <v>53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BHB</v>
      </c>
    </row>
    <row r="46" spans="1:36" ht="12.75">
      <c r="A46" s="6">
        <v>5.14</v>
      </c>
      <c r="B46" s="33"/>
      <c r="C46" s="33" t="s">
        <v>1919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BHB</v>
      </c>
    </row>
    <row r="47" spans="1:36" ht="12.75">
      <c r="A47" s="6">
        <v>5.15</v>
      </c>
      <c r="B47" s="33"/>
      <c r="C47" s="33" t="s">
        <v>1919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BHB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/>
      <c r="C49" s="33" t="s">
        <v>1919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BHB</v>
      </c>
    </row>
    <row r="50" spans="1:36" ht="12.75">
      <c r="A50" s="6">
        <v>5.18</v>
      </c>
      <c r="B50" s="33"/>
      <c r="C50" s="33" t="s">
        <v>1919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BHB</v>
      </c>
    </row>
    <row r="51" spans="1:36" ht="12.75">
      <c r="A51" s="6">
        <v>5.19</v>
      </c>
      <c r="B51" s="32"/>
      <c r="C51" s="33" t="s">
        <v>14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BHB</v>
      </c>
    </row>
    <row r="52" spans="1:36" ht="12.75">
      <c r="A52" s="6">
        <v>5.2</v>
      </c>
      <c r="B52" s="32"/>
      <c r="C52" s="33" t="s">
        <v>14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BHB</v>
      </c>
    </row>
    <row r="53" spans="1:36" ht="12.75">
      <c r="A53" s="6">
        <v>5.21</v>
      </c>
      <c r="B53" s="32"/>
      <c r="C53" s="33" t="s">
        <v>14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BHB</v>
      </c>
    </row>
    <row r="54" spans="1:36" ht="12.75">
      <c r="A54" s="6">
        <v>5.22</v>
      </c>
      <c r="B54" s="33"/>
      <c r="C54" s="33" t="s">
        <v>14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BHB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/>
      <c r="C56" s="33" t="s">
        <v>17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BHB</v>
      </c>
    </row>
    <row r="57" spans="1:36" ht="12.75">
      <c r="A57" s="6">
        <v>5.25</v>
      </c>
      <c r="B57" s="33"/>
      <c r="C57" s="33" t="s">
        <v>17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BHB</v>
      </c>
    </row>
    <row r="58" spans="1:36" ht="12.75">
      <c r="A58" s="6">
        <v>5.26</v>
      </c>
      <c r="B58" s="33"/>
      <c r="C58" s="33" t="s">
        <v>17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BHB</v>
      </c>
    </row>
    <row r="59" spans="1:36" ht="12.75">
      <c r="A59" s="6">
        <v>5.27</v>
      </c>
      <c r="B59" s="33"/>
      <c r="C59" s="33" t="s">
        <v>17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BHB</v>
      </c>
    </row>
    <row r="60" spans="1:36" ht="12.75">
      <c r="A60" s="6">
        <v>5.28</v>
      </c>
      <c r="B60" s="33" t="s">
        <v>32</v>
      </c>
      <c r="C60" s="33" t="s">
        <v>48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BHB</v>
      </c>
    </row>
    <row r="61" spans="1:36" ht="12.75">
      <c r="A61" s="6">
        <v>5.29</v>
      </c>
      <c r="B61" s="33" t="s">
        <v>32</v>
      </c>
      <c r="C61" s="33" t="s">
        <v>48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BHB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48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BHB</v>
      </c>
    </row>
    <row r="64" spans="1:36" ht="12.75">
      <c r="A64" s="6">
        <v>6.01</v>
      </c>
      <c r="B64" s="33"/>
      <c r="C64" s="33" t="s">
        <v>55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BHB</v>
      </c>
    </row>
    <row r="65" spans="1:36" ht="12.75">
      <c r="A65" s="6">
        <v>6.02</v>
      </c>
      <c r="B65" s="33"/>
      <c r="C65" s="33" t="s">
        <v>55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BHB</v>
      </c>
    </row>
    <row r="66" spans="1:36" ht="12.75">
      <c r="A66" s="6">
        <v>6.03</v>
      </c>
      <c r="B66" s="33"/>
      <c r="C66" s="33" t="s">
        <v>55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BHB</v>
      </c>
    </row>
    <row r="67" spans="1:36" ht="12.75">
      <c r="A67" s="6">
        <v>6.04</v>
      </c>
      <c r="B67" s="33"/>
      <c r="C67" s="33" t="s">
        <v>55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BHB</v>
      </c>
    </row>
    <row r="68" spans="1:36" ht="12.75">
      <c r="A68" s="6">
        <v>6.05</v>
      </c>
      <c r="B68" s="33" t="s">
        <v>32</v>
      </c>
      <c r="C68" s="33" t="s">
        <v>1917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BHB</v>
      </c>
    </row>
    <row r="69" spans="1:36" ht="12.75">
      <c r="A69" s="6">
        <v>6.06</v>
      </c>
      <c r="B69" s="33" t="s">
        <v>32</v>
      </c>
      <c r="C69" s="33" t="s">
        <v>1917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BHB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3" t="s">
        <v>32</v>
      </c>
      <c r="C71" s="33" t="s">
        <v>1917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BHB</v>
      </c>
    </row>
    <row r="72" spans="1:36" ht="12.75">
      <c r="A72" s="6">
        <v>6.09</v>
      </c>
      <c r="B72" s="33" t="s">
        <v>32</v>
      </c>
      <c r="C72" s="33" t="s">
        <v>1917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BHB</v>
      </c>
    </row>
    <row r="73" spans="1:36" ht="12.75">
      <c r="A73" s="6">
        <v>6.1</v>
      </c>
      <c r="B73" s="32"/>
      <c r="C73" s="33" t="s">
        <v>49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BHB</v>
      </c>
    </row>
    <row r="74" spans="1:36" ht="12.75">
      <c r="A74" s="6">
        <v>6.11</v>
      </c>
      <c r="B74" s="32"/>
      <c r="C74" s="33" t="s">
        <v>49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BHB</v>
      </c>
    </row>
    <row r="75" spans="1:36" ht="12.75">
      <c r="A75" s="6">
        <v>6.12</v>
      </c>
      <c r="B75" s="32"/>
      <c r="C75" s="33" t="s">
        <v>49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BHB</v>
      </c>
    </row>
    <row r="76" spans="1:36" ht="12.75">
      <c r="A76" s="6">
        <v>6.13</v>
      </c>
      <c r="B76" s="32"/>
      <c r="C76" s="33" t="s">
        <v>49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BHB</v>
      </c>
    </row>
    <row r="77" spans="1:36" ht="12.75">
      <c r="A77" s="6">
        <v>6.14</v>
      </c>
      <c r="B77" s="32" t="s">
        <v>32</v>
      </c>
      <c r="C77" s="33" t="s">
        <v>56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BHB</v>
      </c>
    </row>
    <row r="78" spans="1:36" ht="12.75">
      <c r="A78" s="6">
        <v>6.15</v>
      </c>
      <c r="B78" s="32" t="s">
        <v>32</v>
      </c>
      <c r="C78" s="33" t="s">
        <v>56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BHB</v>
      </c>
    </row>
    <row r="79" spans="1:36" ht="12.75">
      <c r="A79" s="6">
        <v>6.16</v>
      </c>
      <c r="B79" s="32" t="s">
        <v>32</v>
      </c>
      <c r="C79" s="33" t="s">
        <v>56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BHB</v>
      </c>
    </row>
    <row r="80" spans="1:36" ht="12.75">
      <c r="A80" s="6">
        <v>6.17</v>
      </c>
      <c r="B80" s="32" t="s">
        <v>32</v>
      </c>
      <c r="C80" s="33" t="s">
        <v>56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BHB</v>
      </c>
    </row>
    <row r="81" spans="1:36" ht="12.75">
      <c r="A81" s="6">
        <v>6.18</v>
      </c>
      <c r="B81" s="33" t="s">
        <v>32</v>
      </c>
      <c r="C81" s="33" t="s">
        <v>54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BHB</v>
      </c>
    </row>
    <row r="82" spans="1:36" ht="12.75">
      <c r="A82" s="6">
        <v>6.19</v>
      </c>
      <c r="B82" s="33" t="s">
        <v>32</v>
      </c>
      <c r="C82" s="33" t="s">
        <v>54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BHB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3" t="s">
        <v>32</v>
      </c>
      <c r="C84" s="33" t="s">
        <v>54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BHB</v>
      </c>
    </row>
    <row r="85" spans="1:36" ht="12.75">
      <c r="A85" s="6">
        <v>6.22</v>
      </c>
      <c r="B85" s="33" t="s">
        <v>32</v>
      </c>
      <c r="C85" s="33" t="s">
        <v>54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BHB</v>
      </c>
    </row>
    <row r="86" spans="1:36" ht="12.75">
      <c r="A86" s="6">
        <v>6.23</v>
      </c>
      <c r="B86" s="33"/>
      <c r="C86" s="33" t="s">
        <v>46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BHB</v>
      </c>
    </row>
    <row r="87" spans="1:36" ht="12.75">
      <c r="A87" s="6">
        <v>6.24</v>
      </c>
      <c r="B87" s="33"/>
      <c r="C87" s="33" t="s">
        <v>46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BHB</v>
      </c>
    </row>
    <row r="88" spans="1:36" ht="12.75">
      <c r="A88" s="6">
        <v>6.25</v>
      </c>
      <c r="B88" s="33"/>
      <c r="C88" s="33" t="s">
        <v>46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BHB</v>
      </c>
    </row>
    <row r="89" spans="1:36" ht="12.75">
      <c r="A89" s="6">
        <v>6.26</v>
      </c>
      <c r="B89" s="33"/>
      <c r="C89" s="33" t="s">
        <v>46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BHB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2.75">
      <c r="A91" s="6">
        <v>6.28</v>
      </c>
      <c r="B91" s="32"/>
      <c r="C91" s="33" t="s">
        <v>34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BHB</v>
      </c>
    </row>
    <row r="92" spans="1:36" ht="12.75">
      <c r="A92" s="6">
        <v>6.29</v>
      </c>
      <c r="B92" s="32"/>
      <c r="C92" s="33" t="s">
        <v>34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BHB</v>
      </c>
    </row>
    <row r="93" spans="1:36" ht="12.75">
      <c r="A93" s="6">
        <v>6.3</v>
      </c>
      <c r="B93" s="32"/>
      <c r="C93" s="33" t="s">
        <v>34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BHB</v>
      </c>
    </row>
    <row r="94" spans="1:36" ht="12.75">
      <c r="A94" s="6">
        <v>7.01</v>
      </c>
      <c r="B94" s="33" t="s">
        <v>32</v>
      </c>
      <c r="C94" s="33" t="s">
        <v>39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BHB</v>
      </c>
    </row>
    <row r="95" spans="1:36" ht="12.75">
      <c r="A95" s="6">
        <v>7.02</v>
      </c>
      <c r="B95" s="33" t="s">
        <v>32</v>
      </c>
      <c r="C95" s="33" t="s">
        <v>39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BHB</v>
      </c>
    </row>
    <row r="96" spans="1:36" ht="12.75">
      <c r="A96" s="6">
        <v>7.03</v>
      </c>
      <c r="B96" s="33" t="s">
        <v>32</v>
      </c>
      <c r="C96" s="33" t="s">
        <v>39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BHB</v>
      </c>
    </row>
    <row r="97" spans="1:36" ht="12.75">
      <c r="A97" s="6">
        <v>7.04</v>
      </c>
      <c r="B97" s="33"/>
      <c r="C97" s="33" t="s">
        <v>44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BHB</v>
      </c>
    </row>
    <row r="98" spans="1:36" ht="12.75">
      <c r="A98" s="6">
        <v>7.05</v>
      </c>
      <c r="B98" s="33"/>
      <c r="C98" s="33" t="s">
        <v>44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BHB</v>
      </c>
    </row>
    <row r="99" spans="1:36" ht="12.75">
      <c r="A99" s="6">
        <v>7.06</v>
      </c>
      <c r="B99" s="33"/>
      <c r="C99" s="33" t="s">
        <v>44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BHB</v>
      </c>
    </row>
    <row r="100" spans="1:36" ht="12.75">
      <c r="A100" s="6">
        <v>7.07</v>
      </c>
      <c r="B100" s="33" t="s">
        <v>32</v>
      </c>
      <c r="C100" s="33" t="s">
        <v>1191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BHB</v>
      </c>
    </row>
    <row r="101" spans="1:36" ht="12.75">
      <c r="A101" s="6">
        <v>7.08</v>
      </c>
      <c r="B101" s="33" t="s">
        <v>32</v>
      </c>
      <c r="C101" s="33" t="s">
        <v>1191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BHB</v>
      </c>
    </row>
    <row r="102" spans="1:36" ht="12.75">
      <c r="A102" s="6">
        <v>7.09</v>
      </c>
      <c r="B102" s="33" t="s">
        <v>32</v>
      </c>
      <c r="C102" s="33" t="s">
        <v>1191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BHB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1918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BHB</v>
      </c>
    </row>
    <row r="107" spans="1:36" ht="12.75">
      <c r="A107" s="6">
        <v>7.14</v>
      </c>
      <c r="B107" s="33"/>
      <c r="C107" s="33" t="s">
        <v>1918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BHB</v>
      </c>
    </row>
    <row r="108" spans="1:36" ht="12.75">
      <c r="A108" s="6">
        <v>7.15</v>
      </c>
      <c r="B108" s="33"/>
      <c r="C108" s="33" t="s">
        <v>1918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BHB</v>
      </c>
    </row>
    <row r="109" spans="1:36" ht="12.75">
      <c r="A109" s="6">
        <v>7.16</v>
      </c>
      <c r="B109" s="33" t="s">
        <v>32</v>
      </c>
      <c r="C109" s="33" t="s">
        <v>13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BHB</v>
      </c>
    </row>
    <row r="110" spans="1:36" ht="12.75">
      <c r="A110" s="6">
        <v>7.17</v>
      </c>
      <c r="B110" s="33" t="s">
        <v>32</v>
      </c>
      <c r="C110" s="33" t="s">
        <v>13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BHB</v>
      </c>
    </row>
    <row r="111" spans="1:36" ht="12.75">
      <c r="A111" s="6">
        <v>7.18</v>
      </c>
      <c r="B111" s="33" t="s">
        <v>32</v>
      </c>
      <c r="C111" s="33" t="s">
        <v>13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BHB</v>
      </c>
    </row>
    <row r="112" spans="1:36" ht="12.75">
      <c r="A112" s="6">
        <v>7.19</v>
      </c>
      <c r="B112" s="33" t="s">
        <v>32</v>
      </c>
      <c r="C112" s="33" t="s">
        <v>15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BHB</v>
      </c>
    </row>
    <row r="113" spans="1:36" ht="12.75">
      <c r="A113" s="6">
        <v>7.2</v>
      </c>
      <c r="B113" s="33" t="s">
        <v>32</v>
      </c>
      <c r="C113" s="33" t="s">
        <v>15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BHB</v>
      </c>
    </row>
    <row r="114" spans="1:36" ht="12.75">
      <c r="A114" s="6">
        <v>7.21</v>
      </c>
      <c r="B114" s="33" t="s">
        <v>32</v>
      </c>
      <c r="C114" s="33" t="s">
        <v>15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BHB</v>
      </c>
    </row>
    <row r="115" spans="1:36" ht="12.75">
      <c r="A115" s="6">
        <v>7.22</v>
      </c>
      <c r="B115" s="33" t="s">
        <v>32</v>
      </c>
      <c r="C115" s="33" t="s">
        <v>15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BHB</v>
      </c>
    </row>
    <row r="116" spans="1:36" ht="12.75">
      <c r="A116" s="6">
        <v>7.23</v>
      </c>
      <c r="B116" s="33"/>
      <c r="C116" s="33" t="s">
        <v>51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BHB</v>
      </c>
    </row>
    <row r="117" spans="1:36" ht="12.75">
      <c r="A117" s="6">
        <v>7.24</v>
      </c>
      <c r="B117" s="33"/>
      <c r="C117" s="33" t="s">
        <v>51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BHB</v>
      </c>
    </row>
    <row r="118" spans="1:36" ht="12.75">
      <c r="A118" s="6">
        <v>7.25</v>
      </c>
      <c r="B118" s="33"/>
      <c r="C118" s="33" t="s">
        <v>51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BHB</v>
      </c>
    </row>
    <row r="119" spans="1:36" ht="12.75">
      <c r="A119" s="6">
        <v>7.26</v>
      </c>
      <c r="B119" s="33"/>
      <c r="C119" s="33" t="s">
        <v>51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BHB</v>
      </c>
    </row>
    <row r="120" spans="1:36" ht="12.75">
      <c r="A120" s="6">
        <v>7.27</v>
      </c>
      <c r="B120" s="33" t="s">
        <v>32</v>
      </c>
      <c r="C120" s="33" t="s">
        <v>35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BHB</v>
      </c>
    </row>
    <row r="121" spans="1:36" ht="12.75">
      <c r="A121" s="6">
        <v>7.28</v>
      </c>
      <c r="B121" s="33" t="s">
        <v>32</v>
      </c>
      <c r="C121" s="33" t="s">
        <v>35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BHB</v>
      </c>
    </row>
    <row r="122" spans="1:36" ht="12.75">
      <c r="A122" s="6">
        <v>7.29</v>
      </c>
      <c r="B122" s="33" t="s">
        <v>32</v>
      </c>
      <c r="C122" s="33" t="s">
        <v>35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BHB</v>
      </c>
    </row>
    <row r="123" spans="1:36" ht="12.75">
      <c r="A123" s="6">
        <v>7.3</v>
      </c>
      <c r="B123" s="33" t="s">
        <v>32</v>
      </c>
      <c r="C123" s="33" t="s">
        <v>35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BHB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43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BHB</v>
      </c>
    </row>
    <row r="126" spans="1:36" ht="12.75">
      <c r="A126" s="6">
        <v>8.02</v>
      </c>
      <c r="B126" s="33" t="s">
        <v>32</v>
      </c>
      <c r="C126" s="33" t="s">
        <v>43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BHB</v>
      </c>
    </row>
    <row r="127" spans="1:36" ht="12.75">
      <c r="A127" s="6">
        <v>8.0299999999999994</v>
      </c>
      <c r="B127" s="33" t="s">
        <v>32</v>
      </c>
      <c r="C127" s="33" t="s">
        <v>43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BHB</v>
      </c>
    </row>
    <row r="128" spans="1:36" ht="12.75">
      <c r="A128" s="6">
        <v>8.0399999999999991</v>
      </c>
      <c r="B128" s="33" t="s">
        <v>32</v>
      </c>
      <c r="C128" s="33" t="s">
        <v>43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BHB</v>
      </c>
    </row>
    <row r="129" spans="1:36" ht="12.75">
      <c r="A129" s="6">
        <v>8.0500000000000007</v>
      </c>
      <c r="B129" s="33"/>
      <c r="C129" s="33" t="s">
        <v>39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BHB</v>
      </c>
    </row>
    <row r="130" spans="1:36" ht="12.75">
      <c r="A130" s="6">
        <v>8.06</v>
      </c>
      <c r="B130" s="33"/>
      <c r="C130" s="33" t="s">
        <v>39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BHB</v>
      </c>
    </row>
    <row r="131" spans="1:36" ht="12.75">
      <c r="A131" s="6">
        <v>8.07</v>
      </c>
      <c r="B131" s="33"/>
      <c r="C131" s="33" t="s">
        <v>39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BHB</v>
      </c>
    </row>
    <row r="132" spans="1:36" ht="12.75">
      <c r="A132" s="6">
        <v>8.08</v>
      </c>
      <c r="B132" s="33"/>
      <c r="C132" s="33" t="s">
        <v>39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BHB</v>
      </c>
    </row>
    <row r="133" spans="1:36" ht="12.75">
      <c r="A133" s="6">
        <v>8.09</v>
      </c>
      <c r="B133" s="33"/>
      <c r="C133" s="33" t="s">
        <v>13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BHB</v>
      </c>
    </row>
    <row r="134" spans="1:36" ht="12.75">
      <c r="A134" s="6">
        <v>8.1</v>
      </c>
      <c r="B134" s="33"/>
      <c r="C134" s="33" t="s">
        <v>13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BHB</v>
      </c>
    </row>
    <row r="135" spans="1:36" ht="12.75">
      <c r="A135" s="6">
        <v>8.11</v>
      </c>
      <c r="B135" s="33"/>
      <c r="C135" s="33" t="s">
        <v>13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BHB</v>
      </c>
    </row>
    <row r="136" spans="1:36" ht="12.75">
      <c r="A136" s="6">
        <v>8.1199999999999992</v>
      </c>
      <c r="B136" s="33"/>
      <c r="C136" s="33" t="s">
        <v>13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BHB</v>
      </c>
    </row>
    <row r="137" spans="1:36" ht="12.75">
      <c r="A137" s="6">
        <v>8.1300000000000008</v>
      </c>
      <c r="B137" s="32" t="s">
        <v>32</v>
      </c>
      <c r="C137" s="33" t="s">
        <v>34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BHB</v>
      </c>
    </row>
    <row r="138" spans="1:36" ht="12.75">
      <c r="A138" s="6">
        <v>8.14</v>
      </c>
      <c r="B138" s="32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2" t="s">
        <v>32</v>
      </c>
      <c r="C139" s="33" t="s">
        <v>34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BHB</v>
      </c>
    </row>
    <row r="140" spans="1:36" ht="12.75">
      <c r="A140" s="6">
        <v>8.16</v>
      </c>
      <c r="B140" s="32" t="s">
        <v>32</v>
      </c>
      <c r="C140" s="33" t="s">
        <v>34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BHB</v>
      </c>
    </row>
    <row r="141" spans="1:36" ht="12.75">
      <c r="A141" s="6">
        <v>8.17</v>
      </c>
      <c r="B141" s="32" t="s">
        <v>32</v>
      </c>
      <c r="C141" s="33" t="s">
        <v>34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BHB</v>
      </c>
    </row>
    <row r="142" spans="1:36" ht="12.75">
      <c r="A142" s="6">
        <v>8.18</v>
      </c>
      <c r="B142" s="33"/>
      <c r="C142" s="33" t="s">
        <v>45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BHB</v>
      </c>
    </row>
    <row r="143" spans="1:36" ht="12.75">
      <c r="A143" s="6">
        <v>8.19</v>
      </c>
      <c r="B143" s="33"/>
      <c r="C143" s="33" t="s">
        <v>45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BHB</v>
      </c>
    </row>
    <row r="144" spans="1:36" ht="12.75">
      <c r="A144" s="6">
        <v>8.1999999999999993</v>
      </c>
      <c r="B144" s="33"/>
      <c r="C144" s="33" t="s">
        <v>45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BHB</v>
      </c>
    </row>
    <row r="145" spans="1:36" ht="12.75">
      <c r="A145" s="6">
        <v>8.2100000000000009</v>
      </c>
      <c r="B145" s="33" t="s">
        <v>32</v>
      </c>
      <c r="C145" s="33" t="s">
        <v>1918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BHB</v>
      </c>
    </row>
    <row r="146" spans="1:36" ht="12.75">
      <c r="A146" s="6">
        <v>8.2200000000000006</v>
      </c>
      <c r="B146" s="33" t="s">
        <v>32</v>
      </c>
      <c r="C146" s="33" t="s">
        <v>1918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BHB</v>
      </c>
    </row>
    <row r="147" spans="1:36" ht="12.75">
      <c r="A147" s="6">
        <v>8.23</v>
      </c>
      <c r="B147" s="33" t="s">
        <v>32</v>
      </c>
      <c r="C147" s="33" t="s">
        <v>1918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BHB</v>
      </c>
    </row>
    <row r="148" spans="1:36" ht="12.75">
      <c r="A148" s="6">
        <v>8.24</v>
      </c>
      <c r="B148" s="33" t="s">
        <v>32</v>
      </c>
      <c r="C148" s="33" t="s">
        <v>1918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BHB</v>
      </c>
    </row>
    <row r="149" spans="1:36" ht="12.75">
      <c r="A149" s="6">
        <v>8.25</v>
      </c>
      <c r="B149" s="33" t="s">
        <v>32</v>
      </c>
      <c r="C149" s="33" t="s">
        <v>44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BHB</v>
      </c>
    </row>
    <row r="150" spans="1:36" ht="12.75">
      <c r="A150" s="6">
        <v>8.26</v>
      </c>
      <c r="B150" s="33" t="s">
        <v>32</v>
      </c>
      <c r="C150" s="33" t="s">
        <v>44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BHB</v>
      </c>
    </row>
    <row r="151" spans="1:36" ht="12.75">
      <c r="A151" s="6">
        <v>8.27</v>
      </c>
      <c r="B151" s="33" t="s">
        <v>32</v>
      </c>
      <c r="C151" s="33" t="s">
        <v>44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BHB</v>
      </c>
    </row>
    <row r="152" spans="1:36" ht="12.75">
      <c r="A152" s="6">
        <v>8.2799999999999994</v>
      </c>
      <c r="B152" s="33" t="s">
        <v>32</v>
      </c>
      <c r="C152" s="33" t="s">
        <v>44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BHB</v>
      </c>
    </row>
    <row r="153" spans="1:36" ht="12.75">
      <c r="A153" s="6">
        <v>8.2899999999999991</v>
      </c>
      <c r="B153" s="33"/>
      <c r="C153" s="33" t="s">
        <v>16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BHB</v>
      </c>
    </row>
    <row r="154" spans="1:36" ht="12.75">
      <c r="A154" s="6">
        <v>8.3000000000000007</v>
      </c>
      <c r="B154" s="33"/>
      <c r="C154" s="33" t="s">
        <v>16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BHB</v>
      </c>
    </row>
    <row r="155" spans="1:36" ht="12.75">
      <c r="A155" s="6">
        <v>8.31</v>
      </c>
      <c r="B155" s="33"/>
      <c r="C155" s="33" t="s">
        <v>16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BHB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14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BHB</v>
      </c>
    </row>
    <row r="158" spans="1:36" ht="12.75">
      <c r="A158" s="6">
        <v>9.0299999999999994</v>
      </c>
      <c r="B158" s="33" t="s">
        <v>32</v>
      </c>
      <c r="C158" s="33" t="s">
        <v>14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BHB</v>
      </c>
    </row>
    <row r="159" spans="1:36" ht="12.75">
      <c r="A159" s="6">
        <v>9.0399999999999991</v>
      </c>
      <c r="B159" s="33" t="s">
        <v>32</v>
      </c>
      <c r="C159" s="33" t="s">
        <v>14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BHB</v>
      </c>
    </row>
    <row r="160" spans="1:36" ht="12.75">
      <c r="A160" s="6">
        <v>9.0500000000000007</v>
      </c>
      <c r="B160" s="33"/>
      <c r="C160" s="33" t="s">
        <v>1917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BHB</v>
      </c>
    </row>
    <row r="161" spans="1:36" ht="12.75">
      <c r="A161" s="6">
        <v>9.06</v>
      </c>
      <c r="B161" s="33"/>
      <c r="C161" s="33" t="s">
        <v>1917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BHB</v>
      </c>
    </row>
    <row r="162" spans="1:36" ht="12.75">
      <c r="A162" s="6">
        <v>9.07</v>
      </c>
      <c r="B162" s="33"/>
      <c r="C162" s="33" t="s">
        <v>1917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BHB</v>
      </c>
    </row>
    <row r="163" spans="1:36" ht="12.75">
      <c r="A163" s="6">
        <v>9.08</v>
      </c>
      <c r="B163" s="33" t="s">
        <v>32</v>
      </c>
      <c r="C163" s="33" t="s">
        <v>1919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BHB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3" t="s">
        <v>32</v>
      </c>
      <c r="C165" s="33" t="s">
        <v>1919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BHB</v>
      </c>
    </row>
    <row r="166" spans="1:36" ht="12.75">
      <c r="A166" s="6">
        <v>9.11</v>
      </c>
      <c r="B166" s="33" t="s">
        <v>32</v>
      </c>
      <c r="C166" s="33" t="s">
        <v>1919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BHB</v>
      </c>
    </row>
    <row r="167" spans="1:36" ht="12.75">
      <c r="A167" s="6">
        <v>9.1199999999999992</v>
      </c>
      <c r="B167" s="33"/>
      <c r="C167" s="33" t="s">
        <v>48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BHB</v>
      </c>
    </row>
    <row r="168" spans="1:36" ht="12.75">
      <c r="A168" s="6">
        <v>9.1300000000000008</v>
      </c>
      <c r="B168" s="33"/>
      <c r="C168" s="33" t="s">
        <v>48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BHB</v>
      </c>
    </row>
    <row r="169" spans="1:36" ht="12.75">
      <c r="A169" s="6">
        <v>9.14</v>
      </c>
      <c r="B169" s="33"/>
      <c r="C169" s="33" t="s">
        <v>48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BHB</v>
      </c>
    </row>
    <row r="170" spans="1:36" ht="12.75">
      <c r="A170" s="6">
        <v>9.15</v>
      </c>
      <c r="B170" s="33"/>
      <c r="C170" s="33" t="s">
        <v>48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BHB</v>
      </c>
    </row>
    <row r="171" spans="1:36" ht="12.75">
      <c r="A171" s="6">
        <v>9.16</v>
      </c>
      <c r="B171" s="33"/>
      <c r="C171" s="33" t="s">
        <v>43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BHB</v>
      </c>
    </row>
    <row r="172" spans="1:36" ht="12.75">
      <c r="A172" s="6">
        <v>9.17</v>
      </c>
      <c r="B172" s="33"/>
      <c r="C172" s="33" t="s">
        <v>43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BHB</v>
      </c>
    </row>
    <row r="173" spans="1:36" ht="12.75">
      <c r="A173" s="6">
        <v>9.18</v>
      </c>
      <c r="B173" s="33"/>
      <c r="C173" s="33" t="s">
        <v>43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BHB</v>
      </c>
    </row>
    <row r="174" spans="1:36" ht="12.75">
      <c r="A174" s="6">
        <v>9.19</v>
      </c>
      <c r="B174" s="33"/>
      <c r="C174" s="33" t="s">
        <v>1191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BHB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3"/>
      <c r="C176" s="33" t="s">
        <v>1191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BHB</v>
      </c>
    </row>
    <row r="177" spans="1:36" ht="12.75">
      <c r="A177" s="6">
        <v>9.2200000000000006</v>
      </c>
      <c r="B177" s="33"/>
      <c r="C177" s="33" t="s">
        <v>1191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BHB</v>
      </c>
    </row>
    <row r="178" spans="1:36" ht="12.75">
      <c r="A178" s="6">
        <v>9.23</v>
      </c>
      <c r="B178" s="33"/>
      <c r="C178" s="33" t="s">
        <v>1191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BHB</v>
      </c>
    </row>
    <row r="179" spans="1:36" ht="12.75">
      <c r="A179" s="6">
        <v>9.24</v>
      </c>
      <c r="B179" s="33" t="s">
        <v>32</v>
      </c>
      <c r="C179" s="33" t="s">
        <v>47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BHB</v>
      </c>
    </row>
    <row r="180" spans="1:36" ht="12.75">
      <c r="A180" s="6">
        <v>9.25</v>
      </c>
      <c r="B180" s="33" t="s">
        <v>32</v>
      </c>
      <c r="C180" s="33" t="s">
        <v>47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BHB</v>
      </c>
    </row>
    <row r="181" spans="1:36" ht="12.75">
      <c r="A181" s="6">
        <v>9.26</v>
      </c>
      <c r="B181" s="33" t="s">
        <v>32</v>
      </c>
      <c r="C181" s="33" t="s">
        <v>47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BHB</v>
      </c>
    </row>
    <row r="182" spans="1:36" ht="12.75">
      <c r="A182" s="6">
        <v>9.27</v>
      </c>
      <c r="B182" s="33" t="s">
        <v>32</v>
      </c>
      <c r="C182" s="33" t="s">
        <v>46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BHB</v>
      </c>
    </row>
    <row r="183" spans="1:36" ht="12.75">
      <c r="A183" s="6">
        <v>9.2799999999999994</v>
      </c>
      <c r="B183" s="33" t="s">
        <v>32</v>
      </c>
      <c r="C183" s="33" t="s">
        <v>46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BHB</v>
      </c>
    </row>
    <row r="184" spans="1:36" ht="12.75">
      <c r="A184" s="6">
        <v>9.2899999999999991</v>
      </c>
      <c r="B184" s="33" t="s">
        <v>32</v>
      </c>
      <c r="C184" s="33" t="s">
        <v>46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BHB</v>
      </c>
    </row>
    <row r="185" spans="1:36" ht="12.75">
      <c r="A185" s="6">
        <v>9.3000000000000007</v>
      </c>
      <c r="B185" s="33" t="s">
        <v>32</v>
      </c>
      <c r="C185" s="33" t="s">
        <v>46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BHB</v>
      </c>
    </row>
    <row r="186" spans="1:36">
      <c r="A186" s="6"/>
      <c r="B186" s="6"/>
      <c r="D186" s="1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6"/>
      <c r="B190" s="6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4:36"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4:36">
      <c r="K194" s="2"/>
      <c r="AJ194" s="2"/>
    </row>
    <row r="195" spans="4:36">
      <c r="K195" s="2"/>
      <c r="AJ195" s="2"/>
    </row>
    <row r="196" spans="4:36">
      <c r="K196" s="2"/>
      <c r="AJ196" s="2"/>
    </row>
    <row r="197" spans="4:36">
      <c r="K197" s="2"/>
      <c r="AJ197" s="2"/>
    </row>
    <row r="198" spans="4:36">
      <c r="K198" s="2"/>
      <c r="AJ198" s="2"/>
    </row>
    <row r="199" spans="4:36">
      <c r="K199" s="2"/>
      <c r="AJ199" s="2"/>
    </row>
    <row r="200" spans="4:36">
      <c r="K200" s="2"/>
      <c r="AJ200" s="2"/>
    </row>
    <row r="201" spans="4:36">
      <c r="K201" s="2"/>
      <c r="AJ201" s="2"/>
    </row>
    <row r="202" spans="4:36">
      <c r="K202" s="2"/>
      <c r="AJ202" s="2"/>
    </row>
    <row r="203" spans="4:36">
      <c r="K203" s="2"/>
      <c r="AJ203" s="2"/>
    </row>
    <row r="204" spans="4:36">
      <c r="AJ204" s="2"/>
    </row>
    <row r="205" spans="4:36">
      <c r="AJ205" s="2"/>
    </row>
    <row r="206" spans="4:36">
      <c r="AJ206" s="2"/>
    </row>
    <row r="207" spans="4:36">
      <c r="AJ207" s="2"/>
    </row>
    <row r="208" spans="4:36">
      <c r="AJ208" s="2"/>
    </row>
    <row r="209" spans="36:36">
      <c r="AJ209" s="2"/>
    </row>
    <row r="210" spans="36:36">
      <c r="AJ210" s="2"/>
    </row>
    <row r="211" spans="36:36">
      <c r="AJ211" s="2"/>
    </row>
    <row r="212" spans="36:36">
      <c r="AJ212" s="2"/>
    </row>
    <row r="213" spans="36:36">
      <c r="AJ213" s="2"/>
    </row>
    <row r="214" spans="36:36">
      <c r="AJ214" s="2"/>
    </row>
    <row r="215" spans="36:36">
      <c r="AJ215" s="2"/>
    </row>
    <row r="216" spans="36:36">
      <c r="AJ216" s="2"/>
    </row>
    <row r="217" spans="36:36">
      <c r="AJ217" s="2"/>
    </row>
  </sheetData>
  <phoneticPr fontId="5" type="noConversion"/>
  <conditionalFormatting sqref="AK3:AK22">
    <cfRule type="cellIs" dxfId="7324" priority="2077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323" priority="2078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7322" priority="2079" stopIfTrue="1" operator="equal">
      <formula>"input a different starter in column C"</formula>
    </cfRule>
  </conditionalFormatting>
  <conditionalFormatting sqref="AK23">
    <cfRule type="cellIs" dxfId="7321" priority="2081" stopIfTrue="1" operator="equal">
      <formula>"must have 162 starts"</formula>
    </cfRule>
  </conditionalFormatting>
  <conditionalFormatting sqref="AG3:AG22">
    <cfRule type="cellIs" dxfId="7320" priority="1376" stopIfTrue="1" operator="equal">
      <formula>"must average at least 5 innings per start"</formula>
    </cfRule>
  </conditionalFormatting>
  <conditionalFormatting sqref="AG23">
    <cfRule type="cellIs" dxfId="7319" priority="1375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318" priority="137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317" priority="137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316" priority="1372" stopIfTrue="1" operator="equal">
      <formula>"input starter in column C"</formula>
    </cfRule>
  </conditionalFormatting>
  <conditionalFormatting sqref="P3">
    <cfRule type="cellIs" dxfId="7315" priority="1371" stopIfTrue="1" operator="equal">
      <formula>"input starter in column D"</formula>
    </cfRule>
  </conditionalFormatting>
  <conditionalFormatting sqref="P4">
    <cfRule type="cellIs" dxfId="7314" priority="1370" stopIfTrue="1" operator="equal">
      <formula>"input starter in column D"</formula>
    </cfRule>
  </conditionalFormatting>
  <conditionalFormatting sqref="P5">
    <cfRule type="cellIs" dxfId="7313" priority="1369" stopIfTrue="1" operator="equal">
      <formula>"INPUT STARTER IN COLUMN D"</formula>
    </cfRule>
  </conditionalFormatting>
  <conditionalFormatting sqref="P6">
    <cfRule type="cellIs" dxfId="7312" priority="1368" stopIfTrue="1" operator="equal">
      <formula>"INPUT STARTER IN COLUMN D"</formula>
    </cfRule>
  </conditionalFormatting>
  <conditionalFormatting sqref="P8">
    <cfRule type="cellIs" dxfId="7311" priority="1367" stopIfTrue="1" operator="equal">
      <formula>"INPUT STARTER IN COLUMN D"</formula>
    </cfRule>
  </conditionalFormatting>
  <conditionalFormatting sqref="P9">
    <cfRule type="cellIs" dxfId="7310" priority="1366" stopIfTrue="1" operator="equal">
      <formula>"INPUT STARTER IN COLUMN D"</formula>
    </cfRule>
  </conditionalFormatting>
  <conditionalFormatting sqref="P10">
    <cfRule type="cellIs" dxfId="7309" priority="1365" stopIfTrue="1" operator="equal">
      <formula>"INPUT STARTER IN COLUMN D"</formula>
    </cfRule>
  </conditionalFormatting>
  <conditionalFormatting sqref="P11">
    <cfRule type="cellIs" dxfId="7308" priority="1364" stopIfTrue="1" operator="equal">
      <formula>"INPUT STARTER IN COLUMN D"</formula>
    </cfRule>
  </conditionalFormatting>
  <conditionalFormatting sqref="P13">
    <cfRule type="cellIs" dxfId="7307" priority="1363" stopIfTrue="1" operator="equal">
      <formula>"INPUT STARTER IN COLUMN D"</formula>
    </cfRule>
  </conditionalFormatting>
  <conditionalFormatting sqref="P14">
    <cfRule type="cellIs" dxfId="7306" priority="1362" stopIfTrue="1" operator="equal">
      <formula>"INPUT STARTER IN COLUMN D"</formula>
    </cfRule>
  </conditionalFormatting>
  <conditionalFormatting sqref="P15">
    <cfRule type="cellIs" dxfId="7305" priority="1361" stopIfTrue="1" operator="equal">
      <formula>"INPUT STARTER IN COLUMN D"</formula>
    </cfRule>
  </conditionalFormatting>
  <conditionalFormatting sqref="P16">
    <cfRule type="cellIs" dxfId="7304" priority="1360" stopIfTrue="1" operator="equal">
      <formula>"INPUT STARTER IN COLUMN D"</formula>
    </cfRule>
  </conditionalFormatting>
  <conditionalFormatting sqref="P18">
    <cfRule type="cellIs" dxfId="7303" priority="1359" stopIfTrue="1" operator="equal">
      <formula>"INPUT STARTER IN COLUMN D"</formula>
    </cfRule>
  </conditionalFormatting>
  <conditionalFormatting sqref="P19">
    <cfRule type="cellIs" dxfId="7302" priority="1358" stopIfTrue="1" operator="equal">
      <formula>"INPUT STARTER IN COLUMN D"</formula>
    </cfRule>
  </conditionalFormatting>
  <conditionalFormatting sqref="P20">
    <cfRule type="cellIs" dxfId="7301" priority="1357" stopIfTrue="1" operator="equal">
      <formula>"INPUT STARTER IN COLUMN D"</formula>
    </cfRule>
  </conditionalFormatting>
  <conditionalFormatting sqref="P21">
    <cfRule type="cellIs" dxfId="7300" priority="1356" stopIfTrue="1" operator="equal">
      <formula>"INPUT STARTER IN COLUMN D"</formula>
    </cfRule>
  </conditionalFormatting>
  <conditionalFormatting sqref="P23">
    <cfRule type="cellIs" dxfId="7299" priority="1355" stopIfTrue="1" operator="equal">
      <formula>"INPUT STARTER IN COLUMN D"</formula>
    </cfRule>
  </conditionalFormatting>
  <conditionalFormatting sqref="P24">
    <cfRule type="cellIs" dxfId="7298" priority="1354" stopIfTrue="1" operator="equal">
      <formula>"INPUT STARTER IN COLUMN D"</formula>
    </cfRule>
  </conditionalFormatting>
  <conditionalFormatting sqref="P25">
    <cfRule type="cellIs" dxfId="7297" priority="1353" stopIfTrue="1" operator="equal">
      <formula>"INPUT STARTER IN COLUMN D"</formula>
    </cfRule>
  </conditionalFormatting>
  <conditionalFormatting sqref="P26">
    <cfRule type="cellIs" dxfId="7296" priority="1352" stopIfTrue="1" operator="equal">
      <formula>"INPUT STARTER IN COLUMN D"</formula>
    </cfRule>
  </conditionalFormatting>
  <conditionalFormatting sqref="P28">
    <cfRule type="cellIs" dxfId="7295" priority="1351" stopIfTrue="1" operator="equal">
      <formula>"INPUT STARTER IN COLUMN D"</formula>
    </cfRule>
  </conditionalFormatting>
  <conditionalFormatting sqref="P29">
    <cfRule type="cellIs" dxfId="7294" priority="1350" stopIfTrue="1" operator="equal">
      <formula>"INPUT STARTER IN COLUMN D"</formula>
    </cfRule>
  </conditionalFormatting>
  <conditionalFormatting sqref="P30">
    <cfRule type="cellIs" dxfId="7293" priority="1349" stopIfTrue="1" operator="equal">
      <formula>"INPUT STARTER IN COLUMN D"</formula>
    </cfRule>
  </conditionalFormatting>
  <conditionalFormatting sqref="P31">
    <cfRule type="cellIs" dxfId="7292" priority="1348" stopIfTrue="1" operator="equal">
      <formula>"INPUT STARTER IN COLUMN D"</formula>
    </cfRule>
  </conditionalFormatting>
  <conditionalFormatting sqref="P33">
    <cfRule type="cellIs" dxfId="7291" priority="1347" stopIfTrue="1" operator="equal">
      <formula>"INPUT STARTER IN COLUMN D"</formula>
    </cfRule>
  </conditionalFormatting>
  <conditionalFormatting sqref="P34">
    <cfRule type="cellIs" dxfId="7290" priority="1346" stopIfTrue="1" operator="equal">
      <formula>"INPUT STARTER IN COLUMN D"</formula>
    </cfRule>
  </conditionalFormatting>
  <conditionalFormatting sqref="P35">
    <cfRule type="cellIs" dxfId="7289" priority="1345" stopIfTrue="1" operator="equal">
      <formula>"INPUT STARTER IN COLUMN D"</formula>
    </cfRule>
  </conditionalFormatting>
  <conditionalFormatting sqref="P36">
    <cfRule type="cellIs" dxfId="7288" priority="1344" stopIfTrue="1" operator="equal">
      <formula>"INPUT STARTER IN COLUMN D"</formula>
    </cfRule>
  </conditionalFormatting>
  <conditionalFormatting sqref="P37">
    <cfRule type="cellIs" dxfId="7287" priority="1343" stopIfTrue="1" operator="equal">
      <formula>"INPUT STARTER IN COLUMN D"</formula>
    </cfRule>
  </conditionalFormatting>
  <conditionalFormatting sqref="P38">
    <cfRule type="cellIs" dxfId="7286" priority="1342" stopIfTrue="1" operator="equal">
      <formula>"INPUT STARTER IN COLUMN D"</formula>
    </cfRule>
  </conditionalFormatting>
  <conditionalFormatting sqref="P39">
    <cfRule type="cellIs" dxfId="7285" priority="1341" stopIfTrue="1" operator="equal">
      <formula>"INPUT STARTER IN COLUMN D"</formula>
    </cfRule>
  </conditionalFormatting>
  <conditionalFormatting sqref="P40">
    <cfRule type="cellIs" dxfId="7284" priority="1340" stopIfTrue="1" operator="equal">
      <formula>"INPUT STARTER IN COLUMN D"</formula>
    </cfRule>
  </conditionalFormatting>
  <conditionalFormatting sqref="P42">
    <cfRule type="cellIs" dxfId="7283" priority="1339" stopIfTrue="1" operator="equal">
      <formula>"INPUT STARTER IN COLUMN D"</formula>
    </cfRule>
  </conditionalFormatting>
  <conditionalFormatting sqref="P43">
    <cfRule type="cellIs" dxfId="7282" priority="1338" stopIfTrue="1" operator="equal">
      <formula>"INPUT STARTER IN COLUMN D"</formula>
    </cfRule>
  </conditionalFormatting>
  <conditionalFormatting sqref="P44">
    <cfRule type="cellIs" dxfId="7281" priority="1337" stopIfTrue="1" operator="equal">
      <formula>"INPUT STARTER IN COLUMN D"</formula>
    </cfRule>
  </conditionalFormatting>
  <conditionalFormatting sqref="P45">
    <cfRule type="cellIs" dxfId="7280" priority="1336" stopIfTrue="1" operator="equal">
      <formula>"INPUT STARTER IN COLUMN D"</formula>
    </cfRule>
  </conditionalFormatting>
  <conditionalFormatting sqref="P46">
    <cfRule type="cellIs" dxfId="7279" priority="1335" stopIfTrue="1" operator="equal">
      <formula>"INPUT STARTER IN COLUMN D"</formula>
    </cfRule>
  </conditionalFormatting>
  <conditionalFormatting sqref="P47">
    <cfRule type="cellIs" dxfId="7278" priority="1334" stopIfTrue="1" operator="equal">
      <formula>"INPUT STARTER IN COLUMN D"</formula>
    </cfRule>
  </conditionalFormatting>
  <conditionalFormatting sqref="P49">
    <cfRule type="cellIs" dxfId="7277" priority="1333" stopIfTrue="1" operator="equal">
      <formula>"INPUT STARTER IN COLUMN D"</formula>
    </cfRule>
  </conditionalFormatting>
  <conditionalFormatting sqref="P50">
    <cfRule type="cellIs" dxfId="7276" priority="1332" stopIfTrue="1" operator="equal">
      <formula>"INPUT STARTER IN COLUMN D"</formula>
    </cfRule>
  </conditionalFormatting>
  <conditionalFormatting sqref="P51">
    <cfRule type="cellIs" dxfId="7275" priority="1331" stopIfTrue="1" operator="equal">
      <formula>"INPUT STARTER IN COLUMN D"</formula>
    </cfRule>
  </conditionalFormatting>
  <conditionalFormatting sqref="P52">
    <cfRule type="cellIs" dxfId="7274" priority="1330" stopIfTrue="1" operator="equal">
      <formula>"INPUT STARTER IN COLUMN D"</formula>
    </cfRule>
  </conditionalFormatting>
  <conditionalFormatting sqref="P53">
    <cfRule type="cellIs" dxfId="7273" priority="1329" stopIfTrue="1" operator="equal">
      <formula>"INPUT STARTER IN COLUMN D"</formula>
    </cfRule>
  </conditionalFormatting>
  <conditionalFormatting sqref="P54">
    <cfRule type="cellIs" dxfId="7272" priority="1328" stopIfTrue="1" operator="equal">
      <formula>"INPUT STARTER IN COLUMN D"</formula>
    </cfRule>
  </conditionalFormatting>
  <conditionalFormatting sqref="P56">
    <cfRule type="cellIs" dxfId="7271" priority="1327" stopIfTrue="1" operator="equal">
      <formula>"INPUT STARTER IN COLUMN D"</formula>
    </cfRule>
  </conditionalFormatting>
  <conditionalFormatting sqref="P57">
    <cfRule type="cellIs" dxfId="7270" priority="1326" stopIfTrue="1" operator="equal">
      <formula>"INPUT STARTER IN COLUMN D"</formula>
    </cfRule>
  </conditionalFormatting>
  <conditionalFormatting sqref="P58">
    <cfRule type="cellIs" dxfId="7269" priority="1325" stopIfTrue="1" operator="equal">
      <formula>"INPUT STARTER IN COLUMN D"</formula>
    </cfRule>
  </conditionalFormatting>
  <conditionalFormatting sqref="P59">
    <cfRule type="cellIs" dxfId="7268" priority="1324" stopIfTrue="1" operator="equal">
      <formula>"INPUT STARTER IN COLUMN D"</formula>
    </cfRule>
  </conditionalFormatting>
  <conditionalFormatting sqref="P60">
    <cfRule type="cellIs" dxfId="7267" priority="1323" stopIfTrue="1" operator="equal">
      <formula>"INPUT STARTER IN COLUMN D"</formula>
    </cfRule>
  </conditionalFormatting>
  <conditionalFormatting sqref="P61">
    <cfRule type="cellIs" dxfId="7266" priority="1322" stopIfTrue="1" operator="equal">
      <formula>"INPUT STARTER IN COLUMN D"</formula>
    </cfRule>
  </conditionalFormatting>
  <conditionalFormatting sqref="P63">
    <cfRule type="cellIs" dxfId="7265" priority="1321" stopIfTrue="1" operator="equal">
      <formula>"INPUT STARTER IN COLUMN D"</formula>
    </cfRule>
  </conditionalFormatting>
  <conditionalFormatting sqref="P64">
    <cfRule type="cellIs" dxfId="7264" priority="1320" stopIfTrue="1" operator="equal">
      <formula>"INPUT STARTER IN COLUMN D"</formula>
    </cfRule>
  </conditionalFormatting>
  <conditionalFormatting sqref="P65">
    <cfRule type="cellIs" dxfId="7263" priority="1319" stopIfTrue="1" operator="equal">
      <formula>"INPUT STARTER IN COLUMN D"</formula>
    </cfRule>
  </conditionalFormatting>
  <conditionalFormatting sqref="P66">
    <cfRule type="cellIs" dxfId="7262" priority="1318" stopIfTrue="1" operator="equal">
      <formula>"INPUT STARTER IN COLUMN D"</formula>
    </cfRule>
  </conditionalFormatting>
  <conditionalFormatting sqref="P67">
    <cfRule type="cellIs" dxfId="7261" priority="1317" stopIfTrue="1" operator="equal">
      <formula>"INPUT STARTER IN COLUMN D"</formula>
    </cfRule>
  </conditionalFormatting>
  <conditionalFormatting sqref="P68">
    <cfRule type="cellIs" dxfId="7260" priority="1316" stopIfTrue="1" operator="equal">
      <formula>"INPUT STARTER IN COLUMN D"</formula>
    </cfRule>
  </conditionalFormatting>
  <conditionalFormatting sqref="P69">
    <cfRule type="cellIs" dxfId="7259" priority="1315" stopIfTrue="1" operator="equal">
      <formula>"INPUT STARTER IN COLUMN D"</formula>
    </cfRule>
  </conditionalFormatting>
  <conditionalFormatting sqref="P71">
    <cfRule type="cellIs" dxfId="7258" priority="1314" stopIfTrue="1" operator="equal">
      <formula>"INPUT STARTER IN COLUMN D"</formula>
    </cfRule>
  </conditionalFormatting>
  <conditionalFormatting sqref="P72">
    <cfRule type="cellIs" dxfId="7257" priority="1313" stopIfTrue="1" operator="equal">
      <formula>"INPUT STARTER IN COLUMN D"</formula>
    </cfRule>
  </conditionalFormatting>
  <conditionalFormatting sqref="P73">
    <cfRule type="cellIs" dxfId="7256" priority="1312" stopIfTrue="1" operator="equal">
      <formula>"INPUT STARTER IN COLUMN D"</formula>
    </cfRule>
  </conditionalFormatting>
  <conditionalFormatting sqref="P74">
    <cfRule type="cellIs" dxfId="7255" priority="1311" stopIfTrue="1" operator="equal">
      <formula>"INPUT STARTER IN COLUMN D"</formula>
    </cfRule>
  </conditionalFormatting>
  <conditionalFormatting sqref="P75">
    <cfRule type="cellIs" dxfId="7254" priority="1310" stopIfTrue="1" operator="equal">
      <formula>"INPUT STARTER IN COLUMN D"</formula>
    </cfRule>
  </conditionalFormatting>
  <conditionalFormatting sqref="P76">
    <cfRule type="cellIs" dxfId="7253" priority="1309" stopIfTrue="1" operator="equal">
      <formula>"INPUT STARTER IN COLUMN D"</formula>
    </cfRule>
  </conditionalFormatting>
  <conditionalFormatting sqref="P77">
    <cfRule type="cellIs" dxfId="7252" priority="1308" stopIfTrue="1" operator="equal">
      <formula>"INPUT STARTER IN COLUMN D"</formula>
    </cfRule>
  </conditionalFormatting>
  <conditionalFormatting sqref="P78">
    <cfRule type="cellIs" dxfId="7251" priority="1307" stopIfTrue="1" operator="equal">
      <formula>"INPUT STARTER IN COLUMN D"</formula>
    </cfRule>
  </conditionalFormatting>
  <conditionalFormatting sqref="P79">
    <cfRule type="cellIs" dxfId="7250" priority="1306" stopIfTrue="1" operator="equal">
      <formula>"INPUT STARTER IN COLUMN D"</formula>
    </cfRule>
  </conditionalFormatting>
  <conditionalFormatting sqref="P80">
    <cfRule type="cellIs" dxfId="7249" priority="1305" stopIfTrue="1" operator="equal">
      <formula>"INPUT STARTER IN COLUMN D"</formula>
    </cfRule>
  </conditionalFormatting>
  <conditionalFormatting sqref="P81">
    <cfRule type="cellIs" dxfId="7248" priority="1304" stopIfTrue="1" operator="equal">
      <formula>"INPUT STARTER IN COLUMN D"</formula>
    </cfRule>
  </conditionalFormatting>
  <conditionalFormatting sqref="P82">
    <cfRule type="cellIs" dxfId="7247" priority="1303" stopIfTrue="1" operator="equal">
      <formula>"INPUT STARTER IN COLUMN D"</formula>
    </cfRule>
  </conditionalFormatting>
  <conditionalFormatting sqref="P84">
    <cfRule type="cellIs" dxfId="7246" priority="1302" stopIfTrue="1" operator="equal">
      <formula>"INPUT STARTER IN COLUMN D"</formula>
    </cfRule>
  </conditionalFormatting>
  <conditionalFormatting sqref="P85">
    <cfRule type="cellIs" dxfId="7245" priority="1301" stopIfTrue="1" operator="equal">
      <formula>"INPUT STARTER IN COLUMN D"</formula>
    </cfRule>
  </conditionalFormatting>
  <conditionalFormatting sqref="P86">
    <cfRule type="cellIs" dxfId="7244" priority="1300" stopIfTrue="1" operator="equal">
      <formula>"INPUT STARTER IN COLUMN D"</formula>
    </cfRule>
  </conditionalFormatting>
  <conditionalFormatting sqref="P87">
    <cfRule type="cellIs" dxfId="7243" priority="1299" stopIfTrue="1" operator="equal">
      <formula>"INPUT STARTER IN COLUMN D"</formula>
    </cfRule>
  </conditionalFormatting>
  <conditionalFormatting sqref="P88">
    <cfRule type="cellIs" dxfId="7242" priority="1298" stopIfTrue="1" operator="equal">
      <formula>"INPUT STARTER IN COLUMN D"</formula>
    </cfRule>
  </conditionalFormatting>
  <conditionalFormatting sqref="P89">
    <cfRule type="cellIs" dxfId="7241" priority="1297" stopIfTrue="1" operator="equal">
      <formula>"INPUT STARTER IN COLUMN D"</formula>
    </cfRule>
  </conditionalFormatting>
  <conditionalFormatting sqref="P91">
    <cfRule type="cellIs" dxfId="7240" priority="1296" stopIfTrue="1" operator="equal">
      <formula>"INPUT STARTER IN COLUMN D"</formula>
    </cfRule>
  </conditionalFormatting>
  <conditionalFormatting sqref="P92">
    <cfRule type="cellIs" dxfId="7239" priority="1295" stopIfTrue="1" operator="equal">
      <formula>"INPUT STARTER IN COLUMN D"</formula>
    </cfRule>
  </conditionalFormatting>
  <conditionalFormatting sqref="P93">
    <cfRule type="cellIs" dxfId="7238" priority="1294" stopIfTrue="1" operator="equal">
      <formula>"INPUT STARTER IN COLUMN D"</formula>
    </cfRule>
  </conditionalFormatting>
  <conditionalFormatting sqref="P94">
    <cfRule type="cellIs" dxfId="7237" priority="1293" stopIfTrue="1" operator="equal">
      <formula>"INPUT STARTER IN COLUMN D"</formula>
    </cfRule>
  </conditionalFormatting>
  <conditionalFormatting sqref="P95">
    <cfRule type="cellIs" dxfId="7236" priority="1292" stopIfTrue="1" operator="equal">
      <formula>"INPUT STARTER IN COLUMN D"</formula>
    </cfRule>
  </conditionalFormatting>
  <conditionalFormatting sqref="P96">
    <cfRule type="cellIs" dxfId="7235" priority="1291" stopIfTrue="1" operator="equal">
      <formula>"INPUT STARTER IN COLUMN D"</formula>
    </cfRule>
  </conditionalFormatting>
  <conditionalFormatting sqref="P97">
    <cfRule type="cellIs" dxfId="7234" priority="1290" stopIfTrue="1" operator="equal">
      <formula>"INPUT STARTER IN COLUMN D"</formula>
    </cfRule>
  </conditionalFormatting>
  <conditionalFormatting sqref="P98">
    <cfRule type="cellIs" dxfId="7233" priority="1289" stopIfTrue="1" operator="equal">
      <formula>"INPUT STARTER IN COLUMN D"</formula>
    </cfRule>
  </conditionalFormatting>
  <conditionalFormatting sqref="P99">
    <cfRule type="cellIs" dxfId="7232" priority="1288" stopIfTrue="1" operator="equal">
      <formula>"INPUT STARTER IN COLUMN D"</formula>
    </cfRule>
  </conditionalFormatting>
  <conditionalFormatting sqref="P100">
    <cfRule type="cellIs" dxfId="7231" priority="1287" stopIfTrue="1" operator="equal">
      <formula>"INPUT STARTER IN COLUMN D"</formula>
    </cfRule>
  </conditionalFormatting>
  <conditionalFormatting sqref="P101">
    <cfRule type="cellIs" dxfId="7230" priority="1286" stopIfTrue="1" operator="equal">
      <formula>"INPUT STARTER IN COLUMN D"</formula>
    </cfRule>
  </conditionalFormatting>
  <conditionalFormatting sqref="P102">
    <cfRule type="cellIs" dxfId="7229" priority="1285" stopIfTrue="1" operator="equal">
      <formula>"INPUT STARTER IN COLUMN D"</formula>
    </cfRule>
  </conditionalFormatting>
  <conditionalFormatting sqref="P106">
    <cfRule type="cellIs" dxfId="7228" priority="1284" stopIfTrue="1" operator="equal">
      <formula>"INPUT STARTER IN COLUMN D"</formula>
    </cfRule>
  </conditionalFormatting>
  <conditionalFormatting sqref="P107">
    <cfRule type="cellIs" dxfId="7227" priority="1283" stopIfTrue="1" operator="equal">
      <formula>"INPUT STARTER IN COLUMN D"</formula>
    </cfRule>
  </conditionalFormatting>
  <conditionalFormatting sqref="P108">
    <cfRule type="cellIs" dxfId="7226" priority="1282" stopIfTrue="1" operator="equal">
      <formula>"INPUT STARTER IN COLUMN D"</formula>
    </cfRule>
  </conditionalFormatting>
  <conditionalFormatting sqref="P109">
    <cfRule type="cellIs" dxfId="7225" priority="1281" stopIfTrue="1" operator="equal">
      <formula>"INPUT STARTER IN COLUMN D"</formula>
    </cfRule>
  </conditionalFormatting>
  <conditionalFormatting sqref="P110">
    <cfRule type="cellIs" dxfId="7224" priority="1280" stopIfTrue="1" operator="equal">
      <formula>"INPUT STARTER IN COLUMN D"</formula>
    </cfRule>
  </conditionalFormatting>
  <conditionalFormatting sqref="P111">
    <cfRule type="cellIs" dxfId="7223" priority="1279" stopIfTrue="1" operator="equal">
      <formula>"INPUT STARTER IN COLUMN D"</formula>
    </cfRule>
  </conditionalFormatting>
  <conditionalFormatting sqref="P112">
    <cfRule type="cellIs" dxfId="7222" priority="1278" stopIfTrue="1" operator="equal">
      <formula>"INPUT STARTER IN COLUMN D"</formula>
    </cfRule>
  </conditionalFormatting>
  <conditionalFormatting sqref="P113">
    <cfRule type="cellIs" dxfId="7221" priority="1277" stopIfTrue="1" operator="equal">
      <formula>"INPUT STARTER IN COLUMN D"</formula>
    </cfRule>
  </conditionalFormatting>
  <conditionalFormatting sqref="P114">
    <cfRule type="cellIs" dxfId="7220" priority="1276" stopIfTrue="1" operator="equal">
      <formula>"INPUT STARTER IN COLUMN D"</formula>
    </cfRule>
  </conditionalFormatting>
  <conditionalFormatting sqref="P115">
    <cfRule type="cellIs" dxfId="7219" priority="1275" stopIfTrue="1" operator="equal">
      <formula>"INPUT STARTER IN COLUMN D"</formula>
    </cfRule>
  </conditionalFormatting>
  <conditionalFormatting sqref="P116">
    <cfRule type="cellIs" dxfId="7218" priority="1274" stopIfTrue="1" operator="equal">
      <formula>"INPUT STARTER IN COLUMN D"</formula>
    </cfRule>
  </conditionalFormatting>
  <conditionalFormatting sqref="P117">
    <cfRule type="cellIs" dxfId="7217" priority="1273" stopIfTrue="1" operator="equal">
      <formula>"INPUT STARTER IN COLUMN D"</formula>
    </cfRule>
  </conditionalFormatting>
  <conditionalFormatting sqref="P118">
    <cfRule type="cellIs" dxfId="7216" priority="1272" stopIfTrue="1" operator="equal">
      <formula>"INPUT STARTER IN COLUMN D"</formula>
    </cfRule>
  </conditionalFormatting>
  <conditionalFormatting sqref="P119">
    <cfRule type="cellIs" dxfId="7215" priority="1271" stopIfTrue="1" operator="equal">
      <formula>"INPUT STARTER IN COLUMN D"</formula>
    </cfRule>
  </conditionalFormatting>
  <conditionalFormatting sqref="P120">
    <cfRule type="cellIs" dxfId="7214" priority="1270" stopIfTrue="1" operator="equal">
      <formula>"INPUT STARTER IN COLUMN D"</formula>
    </cfRule>
  </conditionalFormatting>
  <conditionalFormatting sqref="P121">
    <cfRule type="cellIs" dxfId="7213" priority="1269" stopIfTrue="1" operator="equal">
      <formula>"INPUT STARTER IN COLUMN D"</formula>
    </cfRule>
  </conditionalFormatting>
  <conditionalFormatting sqref="P122">
    <cfRule type="cellIs" dxfId="7212" priority="1268" stopIfTrue="1" operator="equal">
      <formula>"INPUT STARTER IN COLUMN D"</formula>
    </cfRule>
  </conditionalFormatting>
  <conditionalFormatting sqref="P123">
    <cfRule type="cellIs" dxfId="7211" priority="1267" stopIfTrue="1" operator="equal">
      <formula>"INPUT STARTER IN COLUMN D"</formula>
    </cfRule>
  </conditionalFormatting>
  <conditionalFormatting sqref="P125">
    <cfRule type="cellIs" dxfId="7210" priority="1266" stopIfTrue="1" operator="equal">
      <formula>"INPUT STARTER IN COLUMN D"</formula>
    </cfRule>
  </conditionalFormatting>
  <conditionalFormatting sqref="P126">
    <cfRule type="cellIs" dxfId="7209" priority="1265" stopIfTrue="1" operator="equal">
      <formula>"INPUT STARTER IN COLUMN D"</formula>
    </cfRule>
  </conditionalFormatting>
  <conditionalFormatting sqref="P127">
    <cfRule type="cellIs" dxfId="7208" priority="1264" stopIfTrue="1" operator="equal">
      <formula>"INPUT STARTER IN COLUMN D"</formula>
    </cfRule>
  </conditionalFormatting>
  <conditionalFormatting sqref="P128">
    <cfRule type="cellIs" dxfId="7207" priority="1263" stopIfTrue="1" operator="equal">
      <formula>"INPUT STARTER IN COLUMN D"</formula>
    </cfRule>
  </conditionalFormatting>
  <conditionalFormatting sqref="P129">
    <cfRule type="cellIs" dxfId="7206" priority="1262" stopIfTrue="1" operator="equal">
      <formula>"INPUT STARTER IN COLUMN D"</formula>
    </cfRule>
  </conditionalFormatting>
  <conditionalFormatting sqref="P130">
    <cfRule type="cellIs" dxfId="7205" priority="1261" stopIfTrue="1" operator="equal">
      <formula>"INPUT STARTER IN COLUMN D"</formula>
    </cfRule>
  </conditionalFormatting>
  <conditionalFormatting sqref="P131">
    <cfRule type="cellIs" dxfId="7204" priority="1260" stopIfTrue="1" operator="equal">
      <formula>"INPUT STARTER IN COLUMN D"</formula>
    </cfRule>
  </conditionalFormatting>
  <conditionalFormatting sqref="P132">
    <cfRule type="cellIs" dxfId="7203" priority="1259" stopIfTrue="1" operator="equal">
      <formula>"INPUT STARTER IN COLUMN D"</formula>
    </cfRule>
  </conditionalFormatting>
  <conditionalFormatting sqref="P133">
    <cfRule type="cellIs" dxfId="7202" priority="1258" stopIfTrue="1" operator="equal">
      <formula>"INPUT STARTER IN COLUMN D"</formula>
    </cfRule>
  </conditionalFormatting>
  <conditionalFormatting sqref="P134">
    <cfRule type="cellIs" dxfId="7201" priority="1257" stopIfTrue="1" operator="equal">
      <formula>"INPUT STARTER IN COLUMN D"</formula>
    </cfRule>
  </conditionalFormatting>
  <conditionalFormatting sqref="P135">
    <cfRule type="cellIs" dxfId="7200" priority="1256" stopIfTrue="1" operator="equal">
      <formula>"INPUT STARTER IN COLUMN D"</formula>
    </cfRule>
  </conditionalFormatting>
  <conditionalFormatting sqref="P136">
    <cfRule type="cellIs" dxfId="7199" priority="1255" stopIfTrue="1" operator="equal">
      <formula>"INPUT STARTER IN COLUMN D"</formula>
    </cfRule>
  </conditionalFormatting>
  <conditionalFormatting sqref="P137">
    <cfRule type="cellIs" dxfId="7198" priority="1254" stopIfTrue="1" operator="equal">
      <formula>"INPUT STARTER IN COLUMN D"</formula>
    </cfRule>
  </conditionalFormatting>
  <conditionalFormatting sqref="P139">
    <cfRule type="cellIs" dxfId="7197" priority="1253" stopIfTrue="1" operator="equal">
      <formula>"INPUT STARTER IN COLUMN D"</formula>
    </cfRule>
  </conditionalFormatting>
  <conditionalFormatting sqref="P140">
    <cfRule type="cellIs" dxfId="7196" priority="1252" stopIfTrue="1" operator="equal">
      <formula>"INPUT STARTER IN COLUMN D"</formula>
    </cfRule>
  </conditionalFormatting>
  <conditionalFormatting sqref="P141">
    <cfRule type="cellIs" dxfId="7195" priority="1251" stopIfTrue="1" operator="equal">
      <formula>"INPUT STARTER IN COLUMN D"</formula>
    </cfRule>
  </conditionalFormatting>
  <conditionalFormatting sqref="P142">
    <cfRule type="cellIs" dxfId="7194" priority="1250" stopIfTrue="1" operator="equal">
      <formula>"INPUT STARTER IN COLUMN D"</formula>
    </cfRule>
  </conditionalFormatting>
  <conditionalFormatting sqref="P143">
    <cfRule type="cellIs" dxfId="7193" priority="1249" stopIfTrue="1" operator="equal">
      <formula>"INPUT STARTER IN COLUMN D"</formula>
    </cfRule>
  </conditionalFormatting>
  <conditionalFormatting sqref="P144">
    <cfRule type="cellIs" dxfId="7192" priority="1248" stopIfTrue="1" operator="equal">
      <formula>"INPUT STARTER IN COLUMN D"</formula>
    </cfRule>
  </conditionalFormatting>
  <conditionalFormatting sqref="P145">
    <cfRule type="cellIs" dxfId="7191" priority="1247" stopIfTrue="1" operator="equal">
      <formula>"INPUT STARTER IN COLUMN D"</formula>
    </cfRule>
  </conditionalFormatting>
  <conditionalFormatting sqref="P146">
    <cfRule type="cellIs" dxfId="7190" priority="1246" stopIfTrue="1" operator="equal">
      <formula>"INPUT STARTER IN COLUMN D"</formula>
    </cfRule>
  </conditionalFormatting>
  <conditionalFormatting sqref="P147">
    <cfRule type="cellIs" dxfId="7189" priority="1245" stopIfTrue="1" operator="equal">
      <formula>"INPUT STARTER IN COLUMN D"</formula>
    </cfRule>
  </conditionalFormatting>
  <conditionalFormatting sqref="P148">
    <cfRule type="cellIs" dxfId="7188" priority="1244" stopIfTrue="1" operator="equal">
      <formula>"INPUT STARTER IN COLUMN D"</formula>
    </cfRule>
  </conditionalFormatting>
  <conditionalFormatting sqref="P149">
    <cfRule type="cellIs" dxfId="7187" priority="1243" stopIfTrue="1" operator="equal">
      <formula>"INPUT STARTER IN COLUMN D"</formula>
    </cfRule>
  </conditionalFormatting>
  <conditionalFormatting sqref="P150">
    <cfRule type="cellIs" dxfId="7186" priority="1242" stopIfTrue="1" operator="equal">
      <formula>"INPUT STARTER IN COLUMN D"</formula>
    </cfRule>
  </conditionalFormatting>
  <conditionalFormatting sqref="P151">
    <cfRule type="cellIs" dxfId="7185" priority="1241" stopIfTrue="1" operator="equal">
      <formula>"INPUT STARTER IN COLUMN D"</formula>
    </cfRule>
  </conditionalFormatting>
  <conditionalFormatting sqref="P152">
    <cfRule type="cellIs" dxfId="7184" priority="1240" stopIfTrue="1" operator="equal">
      <formula>"INPUT STARTER IN COLUMN D"</formula>
    </cfRule>
  </conditionalFormatting>
  <conditionalFormatting sqref="P153">
    <cfRule type="cellIs" dxfId="7183" priority="1239" stopIfTrue="1" operator="equal">
      <formula>"INPUT STARTER IN COLUMN D"</formula>
    </cfRule>
  </conditionalFormatting>
  <conditionalFormatting sqref="P154">
    <cfRule type="cellIs" dxfId="7182" priority="1238" stopIfTrue="1" operator="equal">
      <formula>"INPUT STARTER IN COLUMN D"</formula>
    </cfRule>
  </conditionalFormatting>
  <conditionalFormatting sqref="P155">
    <cfRule type="cellIs" dxfId="7181" priority="1237" stopIfTrue="1" operator="equal">
      <formula>"INPUT STARTER IN COLUMN D"</formula>
    </cfRule>
  </conditionalFormatting>
  <conditionalFormatting sqref="P157">
    <cfRule type="cellIs" dxfId="7180" priority="1236" stopIfTrue="1" operator="equal">
      <formula>"INPUT STARTER IN COLUMN D"</formula>
    </cfRule>
  </conditionalFormatting>
  <conditionalFormatting sqref="P158">
    <cfRule type="cellIs" dxfId="7179" priority="1235" stopIfTrue="1" operator="equal">
      <formula>"INPUT STARTER IN COLUMN D"</formula>
    </cfRule>
  </conditionalFormatting>
  <conditionalFormatting sqref="P159">
    <cfRule type="cellIs" dxfId="7178" priority="1234" stopIfTrue="1" operator="equal">
      <formula>"INPUT STARTER IN COLUMN D"</formula>
    </cfRule>
  </conditionalFormatting>
  <conditionalFormatting sqref="P160">
    <cfRule type="cellIs" dxfId="7177" priority="1233" stopIfTrue="1" operator="equal">
      <formula>"INPUT STARTER IN COLUMN D"</formula>
    </cfRule>
  </conditionalFormatting>
  <conditionalFormatting sqref="P161">
    <cfRule type="cellIs" dxfId="7176" priority="1232" stopIfTrue="1" operator="equal">
      <formula>"INPUT STARTER IN COLUMN D"</formula>
    </cfRule>
  </conditionalFormatting>
  <conditionalFormatting sqref="P162">
    <cfRule type="cellIs" dxfId="7175" priority="1231" stopIfTrue="1" operator="equal">
      <formula>"INPUT STARTER IN COLUMN D"</formula>
    </cfRule>
  </conditionalFormatting>
  <conditionalFormatting sqref="P163">
    <cfRule type="cellIs" dxfId="7174" priority="1230" stopIfTrue="1" operator="equal">
      <formula>"INPUT STARTER IN COLUMN D"</formula>
    </cfRule>
  </conditionalFormatting>
  <conditionalFormatting sqref="P165">
    <cfRule type="cellIs" dxfId="7173" priority="1229" stopIfTrue="1" operator="equal">
      <formula>"INPUT STARTER IN COLUMN D"</formula>
    </cfRule>
  </conditionalFormatting>
  <conditionalFormatting sqref="P166">
    <cfRule type="cellIs" dxfId="7172" priority="1228" stopIfTrue="1" operator="equal">
      <formula>"INPUT STARTER IN COLUMN D"</formula>
    </cfRule>
  </conditionalFormatting>
  <conditionalFormatting sqref="P167">
    <cfRule type="cellIs" dxfId="7171" priority="1227" stopIfTrue="1" operator="equal">
      <formula>"INPUT STARTER IN COLUMN D"</formula>
    </cfRule>
  </conditionalFormatting>
  <conditionalFormatting sqref="P168">
    <cfRule type="cellIs" dxfId="7170" priority="1226" stopIfTrue="1" operator="equal">
      <formula>"INPUT STARTER IN COLUMN D"</formula>
    </cfRule>
  </conditionalFormatting>
  <conditionalFormatting sqref="P169">
    <cfRule type="cellIs" dxfId="7169" priority="1225" stopIfTrue="1" operator="equal">
      <formula>"INPUT STARTER IN COLUMN D"</formula>
    </cfRule>
  </conditionalFormatting>
  <conditionalFormatting sqref="P170">
    <cfRule type="cellIs" dxfId="7168" priority="1224" stopIfTrue="1" operator="equal">
      <formula>"INPUT STARTER IN COLUMN D"</formula>
    </cfRule>
  </conditionalFormatting>
  <conditionalFormatting sqref="P171">
    <cfRule type="cellIs" dxfId="7167" priority="1223" stopIfTrue="1" operator="equal">
      <formula>"INPUT STARTER IN COLUMN D"</formula>
    </cfRule>
  </conditionalFormatting>
  <conditionalFormatting sqref="P172">
    <cfRule type="cellIs" dxfId="7166" priority="1222" stopIfTrue="1" operator="equal">
      <formula>"INPUT STARTER IN COLUMN D"</formula>
    </cfRule>
  </conditionalFormatting>
  <conditionalFormatting sqref="P173">
    <cfRule type="cellIs" dxfId="7165" priority="1221" stopIfTrue="1" operator="equal">
      <formula>"INPUT STARTER IN COLUMN D"</formula>
    </cfRule>
  </conditionalFormatting>
  <conditionalFormatting sqref="P174">
    <cfRule type="cellIs" dxfId="7164" priority="1220" stopIfTrue="1" operator="equal">
      <formula>"INPUT STARTER IN COLUMN D"</formula>
    </cfRule>
  </conditionalFormatting>
  <conditionalFormatting sqref="P176">
    <cfRule type="cellIs" dxfId="7163" priority="1219" stopIfTrue="1" operator="equal">
      <formula>"INPUT STARTER IN COLUMN D"</formula>
    </cfRule>
  </conditionalFormatting>
  <conditionalFormatting sqref="P177">
    <cfRule type="cellIs" dxfId="7162" priority="1218" stopIfTrue="1" operator="equal">
      <formula>"INPUT STARTER IN COLUMN D"</formula>
    </cfRule>
  </conditionalFormatting>
  <conditionalFormatting sqref="P178">
    <cfRule type="cellIs" dxfId="7161" priority="1217" stopIfTrue="1" operator="equal">
      <formula>"INPUT STARTER IN COLUMN D"</formula>
    </cfRule>
  </conditionalFormatting>
  <conditionalFormatting sqref="P179">
    <cfRule type="cellIs" dxfId="7160" priority="1216" stopIfTrue="1" operator="equal">
      <formula>"INPUT STARTER IN COLUMN D"</formula>
    </cfRule>
  </conditionalFormatting>
  <conditionalFormatting sqref="P180">
    <cfRule type="cellIs" dxfId="7159" priority="1215" stopIfTrue="1" operator="equal">
      <formula>"INPUT STARTER IN COLUMN D"</formula>
    </cfRule>
  </conditionalFormatting>
  <conditionalFormatting sqref="P181">
    <cfRule type="cellIs" dxfId="7158" priority="1214" stopIfTrue="1" operator="equal">
      <formula>"INPUT STARTER IN COLUMN D"</formula>
    </cfRule>
  </conditionalFormatting>
  <conditionalFormatting sqref="P182">
    <cfRule type="cellIs" dxfId="7157" priority="1213" stopIfTrue="1" operator="equal">
      <formula>"INPUT STARTER IN COLUMN D"</formula>
    </cfRule>
  </conditionalFormatting>
  <conditionalFormatting sqref="P183">
    <cfRule type="cellIs" dxfId="7156" priority="1212" stopIfTrue="1" operator="equal">
      <formula>"INPUT STARTER IN COLUMN D"</formula>
    </cfRule>
  </conditionalFormatting>
  <conditionalFormatting sqref="P184">
    <cfRule type="cellIs" dxfId="7155" priority="1211" stopIfTrue="1" operator="equal">
      <formula>"INPUT STARTER IN COLUMN D"</formula>
    </cfRule>
  </conditionalFormatting>
  <conditionalFormatting sqref="P185">
    <cfRule type="cellIs" dxfId="7154" priority="1210" stopIfTrue="1" operator="equal">
      <formula>"INPUT STARTER IN COLUMN D"</formula>
    </cfRule>
  </conditionalFormatting>
  <conditionalFormatting sqref="AK3:AK22">
    <cfRule type="cellIs" dxfId="7153" priority="1209" stopIfTrue="1" operator="equal">
      <formula>"must average at least 5 innings per start"</formula>
    </cfRule>
  </conditionalFormatting>
  <conditionalFormatting sqref="AK23">
    <cfRule type="cellIs" dxfId="7152" priority="1208" stopIfTrue="1" operator="equal">
      <formula>"must have 162 starts"</formula>
    </cfRule>
  </conditionalFormatting>
  <conditionalFormatting sqref="AK3:AK22">
    <cfRule type="cellIs" dxfId="7151" priority="1207" stopIfTrue="1" operator="equal">
      <formula>"must average at least 5 innings per start"</formula>
    </cfRule>
  </conditionalFormatting>
  <conditionalFormatting sqref="AK23">
    <cfRule type="cellIs" dxfId="7150" priority="1206" stopIfTrue="1" operator="equal">
      <formula>"must have 162 starts"</formula>
    </cfRule>
  </conditionalFormatting>
  <conditionalFormatting sqref="AK3:AK22">
    <cfRule type="cellIs" dxfId="7149" priority="1205" stopIfTrue="1" operator="equal">
      <formula>"must average at least 5 innings per start"</formula>
    </cfRule>
  </conditionalFormatting>
  <conditionalFormatting sqref="AK23">
    <cfRule type="cellIs" dxfId="7148" priority="1204" stopIfTrue="1" operator="equal">
      <formula>"must have 162 starts"</formula>
    </cfRule>
  </conditionalFormatting>
  <conditionalFormatting sqref="AK3:AK22">
    <cfRule type="cellIs" dxfId="7147" priority="1203" stopIfTrue="1" operator="equal">
      <formula>"must average at least 5 innings per start"</formula>
    </cfRule>
  </conditionalFormatting>
  <conditionalFormatting sqref="AK23">
    <cfRule type="cellIs" dxfId="7146" priority="1202" stopIfTrue="1" operator="equal">
      <formula>"must have 162 starts"</formula>
    </cfRule>
  </conditionalFormatting>
  <conditionalFormatting sqref="AK3:AK22">
    <cfRule type="cellIs" dxfId="7145" priority="1201" stopIfTrue="1" operator="equal">
      <formula>"must average at least 5 innings per start"</formula>
    </cfRule>
  </conditionalFormatting>
  <conditionalFormatting sqref="AK23">
    <cfRule type="cellIs" dxfId="7144" priority="1200" stopIfTrue="1" operator="equal">
      <formula>"must have 162 starts"</formula>
    </cfRule>
  </conditionalFormatting>
  <conditionalFormatting sqref="AG3:AG22">
    <cfRule type="cellIs" dxfId="7143" priority="1199" stopIfTrue="1" operator="equal">
      <formula>"must average at least 5 innings per start"</formula>
    </cfRule>
  </conditionalFormatting>
  <conditionalFormatting sqref="AG23">
    <cfRule type="cellIs" dxfId="7142" priority="1198" stopIfTrue="1" operator="equal">
      <formula>"must have 162 starts"</formula>
    </cfRule>
  </conditionalFormatting>
  <conditionalFormatting sqref="AK3:AK22">
    <cfRule type="cellIs" dxfId="7141" priority="1197" stopIfTrue="1" operator="equal">
      <formula>"must average at least 5 innings per start"</formula>
    </cfRule>
  </conditionalFormatting>
  <conditionalFormatting sqref="AK23">
    <cfRule type="cellIs" dxfId="7140" priority="1196" stopIfTrue="1" operator="equal">
      <formula>"must have 162 starts"</formula>
    </cfRule>
  </conditionalFormatting>
  <conditionalFormatting sqref="AK3:AK22">
    <cfRule type="cellIs" dxfId="7139" priority="1195" stopIfTrue="1" operator="equal">
      <formula>"must average at least 5 innings per start"</formula>
    </cfRule>
  </conditionalFormatting>
  <conditionalFormatting sqref="AK23">
    <cfRule type="cellIs" dxfId="7138" priority="1194" stopIfTrue="1" operator="equal">
      <formula>"must have 162 starts"</formula>
    </cfRule>
  </conditionalFormatting>
  <conditionalFormatting sqref="AK3:AK22">
    <cfRule type="cellIs" dxfId="7137" priority="1193" stopIfTrue="1" operator="equal">
      <formula>"must average at least 5 innings per start"</formula>
    </cfRule>
  </conditionalFormatting>
  <conditionalFormatting sqref="AK23">
    <cfRule type="cellIs" dxfId="7136" priority="1192" stopIfTrue="1" operator="equal">
      <formula>"must have 162 starts"</formula>
    </cfRule>
  </conditionalFormatting>
  <conditionalFormatting sqref="AK3:AK22">
    <cfRule type="cellIs" dxfId="7135" priority="1191" stopIfTrue="1" operator="equal">
      <formula>"must average at least 5 innings per start"</formula>
    </cfRule>
  </conditionalFormatting>
  <conditionalFormatting sqref="AK23">
    <cfRule type="cellIs" dxfId="7134" priority="1190" stopIfTrue="1" operator="equal">
      <formula>"must have 162 starts"</formula>
    </cfRule>
  </conditionalFormatting>
  <conditionalFormatting sqref="AG3:AG22">
    <cfRule type="cellIs" dxfId="7133" priority="1189" stopIfTrue="1" operator="equal">
      <formula>"must average at least 5 innings per start"</formula>
    </cfRule>
  </conditionalFormatting>
  <conditionalFormatting sqref="AG23">
    <cfRule type="cellIs" dxfId="7132" priority="1188" stopIfTrue="1" operator="equal">
      <formula>"must have 162 starts"</formula>
    </cfRule>
  </conditionalFormatting>
  <conditionalFormatting sqref="AK3:AK22">
    <cfRule type="cellIs" dxfId="7131" priority="1187" stopIfTrue="1" operator="equal">
      <formula>"must average at least 5 innings per start"</formula>
    </cfRule>
  </conditionalFormatting>
  <conditionalFormatting sqref="AK23">
    <cfRule type="cellIs" dxfId="7130" priority="1186" stopIfTrue="1" operator="equal">
      <formula>"must have 162 starts"</formula>
    </cfRule>
  </conditionalFormatting>
  <conditionalFormatting sqref="AK3:AK22">
    <cfRule type="cellIs" dxfId="7129" priority="1185" stopIfTrue="1" operator="equal">
      <formula>"must average at least 5 innings per start"</formula>
    </cfRule>
  </conditionalFormatting>
  <conditionalFormatting sqref="AK23">
    <cfRule type="cellIs" dxfId="7128" priority="1184" stopIfTrue="1" operator="equal">
      <formula>"must have 162 starts"</formula>
    </cfRule>
  </conditionalFormatting>
  <conditionalFormatting sqref="AK3:AK22">
    <cfRule type="cellIs" dxfId="7127" priority="1183" stopIfTrue="1" operator="equal">
      <formula>"must average at least 5 innings per start"</formula>
    </cfRule>
  </conditionalFormatting>
  <conditionalFormatting sqref="AK23">
    <cfRule type="cellIs" dxfId="7126" priority="1182" stopIfTrue="1" operator="equal">
      <formula>"must have 162 starts"</formula>
    </cfRule>
  </conditionalFormatting>
  <conditionalFormatting sqref="AG3:AG22">
    <cfRule type="cellIs" dxfId="7125" priority="1181" stopIfTrue="1" operator="equal">
      <formula>"must average at least 5 innings per start"</formula>
    </cfRule>
  </conditionalFormatting>
  <conditionalFormatting sqref="AG23">
    <cfRule type="cellIs" dxfId="7124" priority="1180" stopIfTrue="1" operator="equal">
      <formula>"must have 162 starts"</formula>
    </cfRule>
  </conditionalFormatting>
  <conditionalFormatting sqref="AK3:AK22">
    <cfRule type="cellIs" dxfId="7123" priority="1179" stopIfTrue="1" operator="equal">
      <formula>"must average at least 5 innings per start"</formula>
    </cfRule>
  </conditionalFormatting>
  <conditionalFormatting sqref="AK23">
    <cfRule type="cellIs" dxfId="7122" priority="1178" stopIfTrue="1" operator="equal">
      <formula>"must have 162 starts"</formula>
    </cfRule>
  </conditionalFormatting>
  <conditionalFormatting sqref="AG3:AG22">
    <cfRule type="cellIs" dxfId="7121" priority="1177" stopIfTrue="1" operator="equal">
      <formula>"must average at least 5 innings per start"</formula>
    </cfRule>
  </conditionalFormatting>
  <conditionalFormatting sqref="AG23">
    <cfRule type="cellIs" dxfId="7120" priority="1176" stopIfTrue="1" operator="equal">
      <formula>"must have 162 starts"</formula>
    </cfRule>
  </conditionalFormatting>
  <conditionalFormatting sqref="Q2">
    <cfRule type="cellIs" dxfId="7119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2670" divId="ROTcheck_22670" sourceType="sheet" destinationFile="C:\1kading\schedule\skedbea.html"/>
    <webPublishItem id="13597" divId="ROTcheck_13597" sourceType="range" sourceRef="A1:O193" destinationFile="C:\1kading\schedule\rostbea.html"/>
    <webPublishItem id="10514" divId="ROTcheck_10514" sourceType="range" sourceRef="A156:O185" destinationFile="C:\1kading\schedule\skedbea.html"/>
  </webPublishItems>
</worksheet>
</file>

<file path=xl/worksheets/sheet7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7" customWidth="1"/>
    <col min="4" max="4" width="29.42578125" style="4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19.710937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9.1406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54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 t="s">
        <v>32</v>
      </c>
      <c r="C3" s="33" t="s">
        <v>1919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609</v>
      </c>
      <c r="T3" s="46" t="str">
        <f>IF(ISERROR((VLOOKUP(S3,Pitchers!$B$1:H$800,4,FALSE))),"",(VLOOKUP(S3,Pitchers!$B$1:H$800,4,FALSE)))</f>
        <v>CLE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12</v>
      </c>
      <c r="X3" s="47">
        <f>IF(ISERROR((VLOOKUP(S3,Pitchers!B$2:AA$795,11,FALSE))),"",(VLOOKUP(S3,Pitchers!B$2:AA$795,11,FALSE)))</f>
        <v>185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</v>
      </c>
      <c r="AC3" s="52" t="str">
        <f>IF(ISERROR((VLOOKUP(S3,Pitchers!B$2:AA$795,17,FALSE))),"",(VLOOKUP(S3,Pitchers!B$2:AA$795,17,FALSE)))</f>
        <v xml:space="preserve"> </v>
      </c>
      <c r="AD3" s="53" t="str">
        <f>IF(ISERROR((VLOOKUP(S3,Pitchers!B$2:AA$795,18,FALSE))),"",(VLOOKUP(S3,Pitchers!B$2:AA$795,18,FALSE)))</f>
        <v xml:space="preserve"> 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CAN</v>
      </c>
    </row>
    <row r="4" spans="1:36" ht="12.75">
      <c r="A4" s="6">
        <v>4.0199999999999996</v>
      </c>
      <c r="B4" s="33" t="s">
        <v>32</v>
      </c>
      <c r="C4" s="33" t="s">
        <v>1919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678</v>
      </c>
      <c r="T4" s="46" t="str">
        <f>IF(ISERROR((VLOOKUP(S4,Pitchers!$B$1:H$800,4,FALSE))),"",(VLOOKUP(S4,Pitchers!$B$1:H$800,4,FALSE)))</f>
        <v>NYY</v>
      </c>
      <c r="U4" s="45" t="str">
        <f>IF(ISERROR((VLOOKUP(S4,Pitchers!B$2:AA$795,10,FALSE))),"",(VLOOKUP(S4,Pitchers!B$2:AA$795,10,FALSE)))</f>
        <v>R</v>
      </c>
      <c r="V4" s="41"/>
      <c r="W4" s="46">
        <f>IF(ISERROR((VLOOKUP(S4,Pitchers!B$2:AA$795,13,FALSE))),"",(VLOOKUP(S4,Pitchers!B$2:AA$795,13,FALSE)))</f>
        <v>11</v>
      </c>
      <c r="X4" s="47">
        <f>IF(ISERROR((VLOOKUP(S4,Pitchers!B$2:AA$795,11,FALSE))),"",(VLOOKUP(S4,Pitchers!B$2:AA$795,11,FALSE)))</f>
        <v>96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>G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CAN</v>
      </c>
    </row>
    <row r="5" spans="1:36" ht="12.75">
      <c r="A5" s="6">
        <v>4.03</v>
      </c>
      <c r="B5" s="33" t="s">
        <v>32</v>
      </c>
      <c r="C5" s="33" t="s">
        <v>1919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267</v>
      </c>
      <c r="T5" s="46" t="str">
        <f>IF(ISERROR((VLOOKUP(S5,Pitchers!$B$1:H$800,4,FALSE))),"",(VLOOKUP(S5,Pitchers!$B$1:H$800,4,FALSE)))</f>
        <v>TOR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9</v>
      </c>
      <c r="X5" s="47">
        <f>IF(ISERROR((VLOOKUP(S5,Pitchers!B$2:AA$795,11,FALSE))),"",(VLOOKUP(S5,Pitchers!B$2:AA$795,11,FALSE)))</f>
        <v>215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CAN</v>
      </c>
    </row>
    <row r="6" spans="1:36" ht="12.75">
      <c r="A6" s="6">
        <v>4.04</v>
      </c>
      <c r="B6" s="33" t="s">
        <v>32</v>
      </c>
      <c r="C6" s="33" t="s">
        <v>1919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1505</v>
      </c>
      <c r="T6" s="46" t="str">
        <f>IF(ISERROR((VLOOKUP(S6,Pitchers!$B$1:H$800,4,FALSE))),"",(VLOOKUP(S6,Pitchers!$B$1:H$800,4,FALSE)))</f>
        <v>TOT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9</v>
      </c>
      <c r="X6" s="47">
        <f>IF(ISERROR((VLOOKUP(S6,Pitchers!B$2:AA$795,11,FALSE))),"",(VLOOKUP(S6,Pitchers!B$2:AA$795,11,FALSE)))</f>
        <v>19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X</v>
      </c>
      <c r="AC6" s="52" t="str">
        <f>IF(ISERROR((VLOOKUP(S6,Pitchers!B$2:AA$795,17,FALSE))),"",(VLOOKUP(S6,Pitchers!B$2:AA$795,17,FALSE)))</f>
        <v>Z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CAN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644</v>
      </c>
      <c r="T7" s="46" t="str">
        <f>IF(ISERROR((VLOOKUP(S7,Pitchers!$B$1:H$800,4,FALSE))),"",(VLOOKUP(S7,Pitchers!$B$1:H$800,4,FALSE)))</f>
        <v>ATL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8</v>
      </c>
      <c r="X7" s="47">
        <f>IF(ISERROR((VLOOKUP(S7,Pitchers!B$2:AA$795,11,FALSE))),"",(VLOOKUP(S7,Pitchers!B$2:AA$795,11,FALSE)))</f>
        <v>201</v>
      </c>
      <c r="Y7" s="48"/>
      <c r="Z7" s="49"/>
      <c r="AA7" s="50"/>
      <c r="AB7" s="51" t="str">
        <f>IF(ISERROR((VLOOKUP(S7,Pitchers!B$2:AA$795,16,FALSE))),"",(VLOOKUP(S7,Pitchers!B$2:AA$795,16,FALSE)))</f>
        <v>Y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>L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47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553</v>
      </c>
      <c r="T8" s="46" t="str">
        <f>IF(ISERROR((VLOOKUP(S8,Pitchers!$B$1:H$800,4,FALSE))),"",(VLOOKUP(S8,Pitchers!$B$1:H$800,4,FALSE)))</f>
        <v>SFG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8</v>
      </c>
      <c r="X8" s="47">
        <f>IF(ISERROR((VLOOKUP(S8,Pitchers!B$2:AA$795,11,FALSE))),"",(VLOOKUP(S8,Pitchers!B$2:AA$795,11,FALSE)))</f>
        <v>111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Z</v>
      </c>
      <c r="AD8" s="53" t="str">
        <f>IF(ISERROR((VLOOKUP(S8,Pitchers!B$2:AA$795,18,FALSE))),"",(VLOOKUP(S8,Pitchers!B$2:AA$795,18,FALSE)))</f>
        <v xml:space="preserve"> 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CAN</v>
      </c>
    </row>
    <row r="9" spans="1:36" ht="12.75">
      <c r="A9" s="6">
        <v>4.07</v>
      </c>
      <c r="B9" s="33"/>
      <c r="C9" s="33" t="s">
        <v>47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231</v>
      </c>
      <c r="T9" s="46" t="str">
        <f>IF(ISERROR((VLOOKUP(S9,Pitchers!$B$1:H$800,4,FALSE))),"",(VLOOKUP(S9,Pitchers!$B$1:H$800,4,FALSE)))</f>
        <v>TBR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8</v>
      </c>
      <c r="X9" s="47">
        <f>IF(ISERROR((VLOOKUP(S9,Pitchers!B$2:AA$795,11,FALSE))),"",(VLOOKUP(S9,Pitchers!B$2:AA$795,11,FALSE)))</f>
        <v>69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Y</v>
      </c>
      <c r="AC9" s="52" t="str">
        <f>IF(ISERROR((VLOOKUP(S9,Pitchers!B$2:AA$795,17,FALSE))),"",(VLOOKUP(S9,Pitchers!B$2:AA$795,17,FALSE)))</f>
        <v>Z</v>
      </c>
      <c r="AD9" s="53" t="str">
        <f>IF(ISERROR((VLOOKUP(S9,Pitchers!B$2:AA$795,18,FALSE))),"",(VLOOKUP(S9,Pitchers!B$2:AA$795,18,FALSE)))</f>
        <v>G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CAN</v>
      </c>
    </row>
    <row r="10" spans="1:36" ht="12.75">
      <c r="A10" s="6">
        <v>4.08</v>
      </c>
      <c r="B10" s="33"/>
      <c r="C10" s="33" t="s">
        <v>47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485</v>
      </c>
      <c r="T10" s="46" t="str">
        <f>IF(ISERROR((VLOOKUP(S10,Pitchers!$B$1:H$800,4,FALSE))),"",(VLOOKUP(S10,Pitchers!$B$1:H$800,4,FALSE)))</f>
        <v>CLE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5</v>
      </c>
      <c r="X10" s="47">
        <f>IF(ISERROR((VLOOKUP(S10,Pitchers!B$2:AA$795,11,FALSE))),"",(VLOOKUP(S10,Pitchers!B$2:AA$795,11,FALSE)))</f>
        <v>5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XY</v>
      </c>
      <c r="AC10" s="52" t="str">
        <f>IF(ISERROR((VLOOKUP(S10,Pitchers!B$2:AA$795,17,FALSE))),"",(VLOOKUP(S10,Pitchers!B$2:AA$795,17,FALSE)))</f>
        <v xml:space="preserve"> </v>
      </c>
      <c r="AD10" s="53" t="str">
        <f>IF(ISERROR((VLOOKUP(S10,Pitchers!B$2:AA$795,18,FALSE))),"",(VLOOKUP(S10,Pitchers!B$2:AA$795,18,FALSE)))</f>
        <v xml:space="preserve"> 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CAN</v>
      </c>
    </row>
    <row r="11" spans="1:36" ht="12.75">
      <c r="A11" s="6">
        <v>4.09</v>
      </c>
      <c r="B11" s="33"/>
      <c r="C11" s="33" t="s">
        <v>47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 t="s">
        <v>199</v>
      </c>
      <c r="T11" s="46" t="str">
        <f>IF(ISERROR((VLOOKUP(S11,Pitchers!$B$1:H$800,4,FALSE))),"",(VLOOKUP(S11,Pitchers!$B$1:H$800,4,FALSE)))</f>
        <v>SFG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3</v>
      </c>
      <c r="X11" s="47">
        <f>IF(ISERROR((VLOOKUP(S11,Pitchers!B$2:AA$795,11,FALSE))),"",(VLOOKUP(S11,Pitchers!B$2:AA$795,11,FALSE)))</f>
        <v>58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 xml:space="preserve"> </v>
      </c>
      <c r="AD11" s="53" t="str">
        <f>IF(ISERROR((VLOOKUP(S11,Pitchers!B$2:AA$795,18,FALSE))),"",(VLOOKUP(S11,Pitchers!B$2:AA$795,18,FALSE)))</f>
        <v>L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CAN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68"/>
      <c r="T12" s="46" t="str">
        <f>IF(ISERROR((VLOOKUP(S12,Pitchers!$B$1:H$800,4,FALSE))),"",(VLOOKUP(S12,Pitchers!$B$1:H$800,4,FALSE)))</f>
        <v/>
      </c>
      <c r="U12" s="45" t="str">
        <f>IF(ISERROR((VLOOKUP(S12,Pitchers!B$2:AA$795,10,FALSE))),"",(VLOOKUP(S12,Pitchers!B$2:AA$795,10,FALSE)))</f>
        <v/>
      </c>
      <c r="V12" s="21"/>
      <c r="W12" s="46" t="str">
        <f>IF(ISERROR((VLOOKUP(S12,Pitchers!B$2:AA$795,13,FALSE))),"",(VLOOKUP(S12,Pitchers!B$2:AA$795,13,FALSE)))</f>
        <v/>
      </c>
      <c r="X12" s="47" t="str">
        <f>IF(ISERROR((VLOOKUP(S12,Pitchers!B$2:AA$795,11,FALSE))),"",(VLOOKUP(S12,Pitchers!B$2:AA$795,11,FALSE)))</f>
        <v/>
      </c>
      <c r="Y12" s="22"/>
      <c r="Z12" s="22"/>
      <c r="AA12" s="22"/>
      <c r="AB12" s="51" t="str">
        <f>IF(ISERROR((VLOOKUP(S12,Pitchers!B$2:AA$795,16,FALSE))),"",(VLOOKUP(S12,Pitchers!B$2:AA$795,16,FALSE)))</f>
        <v/>
      </c>
      <c r="AC12" s="52" t="str">
        <f>IF(ISERROR((VLOOKUP(S12,Pitchers!B$2:AA$795,17,FALSE))),"",(VLOOKUP(S12,Pitchers!B$2:AA$795,17,FALSE)))</f>
        <v/>
      </c>
      <c r="AD12" s="53" t="str">
        <f>IF(ISERROR((VLOOKUP(S12,Pitchers!B$2:AA$795,18,FALSE))),"",(VLOOKUP(S12,Pitchers!B$2:AA$795,18,FALSE)))</f>
        <v/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51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CAN</v>
      </c>
    </row>
    <row r="14" spans="1:36" ht="12.75">
      <c r="A14" s="6">
        <v>4.12</v>
      </c>
      <c r="B14" s="33"/>
      <c r="C14" s="33" t="s">
        <v>51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CAN</v>
      </c>
    </row>
    <row r="15" spans="1:36" ht="12.75">
      <c r="A15" s="6">
        <v>4.13</v>
      </c>
      <c r="B15" s="33"/>
      <c r="C15" s="33" t="s">
        <v>51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CAN</v>
      </c>
    </row>
    <row r="16" spans="1:36" ht="12.75">
      <c r="A16" s="6">
        <v>4.1399999999999997</v>
      </c>
      <c r="B16" s="33"/>
      <c r="C16" s="33" t="s">
        <v>51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CAN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2" t="s">
        <v>32</v>
      </c>
      <c r="C18" s="33" t="s">
        <v>15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CAN</v>
      </c>
    </row>
    <row r="19" spans="1:36" ht="12.75">
      <c r="A19" s="6">
        <v>4.17</v>
      </c>
      <c r="B19" s="32" t="s">
        <v>32</v>
      </c>
      <c r="C19" s="33" t="s">
        <v>15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CAN</v>
      </c>
    </row>
    <row r="20" spans="1:36" ht="12.75">
      <c r="A20" s="6">
        <v>4.18</v>
      </c>
      <c r="B20" s="32" t="s">
        <v>32</v>
      </c>
      <c r="C20" s="33" t="s">
        <v>15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CAN</v>
      </c>
    </row>
    <row r="21" spans="1:36" ht="12.75">
      <c r="A21" s="6">
        <v>4.1900000000000004</v>
      </c>
      <c r="B21" s="32" t="s">
        <v>32</v>
      </c>
      <c r="C21" s="33" t="s">
        <v>15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CAN</v>
      </c>
    </row>
    <row r="22" spans="1:36" ht="12.75">
      <c r="A22" s="6">
        <v>4.2</v>
      </c>
      <c r="B22" s="32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2" t="s">
        <v>32</v>
      </c>
      <c r="C23" s="33" t="s">
        <v>39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CAN</v>
      </c>
    </row>
    <row r="24" spans="1:36" ht="12.75">
      <c r="A24" s="6">
        <v>4.22</v>
      </c>
      <c r="B24" s="32" t="s">
        <v>32</v>
      </c>
      <c r="C24" s="33" t="s">
        <v>39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CAN</v>
      </c>
    </row>
    <row r="25" spans="1:36" ht="12.75">
      <c r="A25" s="6">
        <v>4.2300000000000004</v>
      </c>
      <c r="B25" s="32" t="s">
        <v>32</v>
      </c>
      <c r="C25" s="33" t="s">
        <v>39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CAN</v>
      </c>
    </row>
    <row r="26" spans="1:36" ht="12.75">
      <c r="A26" s="6">
        <v>4.24</v>
      </c>
      <c r="B26" s="32" t="s">
        <v>32</v>
      </c>
      <c r="C26" s="33" t="s">
        <v>39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CAN</v>
      </c>
    </row>
    <row r="27" spans="1:36" ht="12.75">
      <c r="A27" s="6">
        <v>4.25</v>
      </c>
      <c r="B27" s="32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/>
      <c r="C28" s="33" t="s">
        <v>1918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CAN</v>
      </c>
    </row>
    <row r="29" spans="1:36" ht="12.75">
      <c r="A29" s="6">
        <v>4.2699999999999996</v>
      </c>
      <c r="B29" s="33"/>
      <c r="C29" s="33" t="s">
        <v>1918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CAN</v>
      </c>
    </row>
    <row r="30" spans="1:36" ht="12.75">
      <c r="A30" s="6">
        <v>4.28</v>
      </c>
      <c r="B30" s="33"/>
      <c r="C30" s="33" t="s">
        <v>1918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CAN</v>
      </c>
    </row>
    <row r="31" spans="1:36" ht="12.75">
      <c r="A31" s="6">
        <v>4.29</v>
      </c>
      <c r="B31" s="33"/>
      <c r="C31" s="33" t="s">
        <v>1918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CAN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 t="s">
        <v>32</v>
      </c>
      <c r="C33" s="33" t="s">
        <v>40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CAN</v>
      </c>
    </row>
    <row r="34" spans="1:36" ht="12.75">
      <c r="A34" s="6">
        <v>5.0199999999999996</v>
      </c>
      <c r="B34" s="33" t="s">
        <v>32</v>
      </c>
      <c r="C34" s="33" t="s">
        <v>40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CAN</v>
      </c>
    </row>
    <row r="35" spans="1:36" ht="12.75">
      <c r="A35" s="6">
        <v>5.03</v>
      </c>
      <c r="B35" s="33" t="s">
        <v>32</v>
      </c>
      <c r="C35" s="33" t="s">
        <v>40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CAN</v>
      </c>
    </row>
    <row r="36" spans="1:36" ht="12.75">
      <c r="A36" s="6">
        <v>5.04</v>
      </c>
      <c r="B36" s="33" t="s">
        <v>32</v>
      </c>
      <c r="C36" s="33" t="s">
        <v>40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CAN</v>
      </c>
    </row>
    <row r="37" spans="1:36" ht="12.75">
      <c r="A37" s="6">
        <v>5.05</v>
      </c>
      <c r="B37" s="33"/>
      <c r="C37" s="33" t="s">
        <v>42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CAN</v>
      </c>
    </row>
    <row r="38" spans="1:36" ht="12.75">
      <c r="A38" s="6">
        <v>5.0599999999999996</v>
      </c>
      <c r="B38" s="33"/>
      <c r="C38" s="33" t="s">
        <v>42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CAN</v>
      </c>
    </row>
    <row r="39" spans="1:36" ht="12.75">
      <c r="A39" s="6">
        <v>5.07</v>
      </c>
      <c r="B39" s="33"/>
      <c r="C39" s="33" t="s">
        <v>42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CAN</v>
      </c>
    </row>
    <row r="40" spans="1:36" ht="12.75">
      <c r="A40" s="6">
        <v>5.08</v>
      </c>
      <c r="B40" s="33"/>
      <c r="C40" s="33" t="s">
        <v>42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CAN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 t="s">
        <v>32</v>
      </c>
      <c r="C42" s="33" t="s">
        <v>1191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CAN</v>
      </c>
    </row>
    <row r="43" spans="1:36" ht="12.75">
      <c r="A43" s="6">
        <v>5.1100000000000003</v>
      </c>
      <c r="B43" s="33" t="s">
        <v>32</v>
      </c>
      <c r="C43" s="33" t="s">
        <v>1191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CAN</v>
      </c>
    </row>
    <row r="44" spans="1:36" ht="12.75">
      <c r="A44" s="6">
        <v>5.12</v>
      </c>
      <c r="B44" s="33" t="s">
        <v>32</v>
      </c>
      <c r="C44" s="33" t="s">
        <v>1191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CAN</v>
      </c>
    </row>
    <row r="45" spans="1:36" ht="12.75">
      <c r="A45" s="6">
        <v>5.13</v>
      </c>
      <c r="B45" s="33" t="s">
        <v>32</v>
      </c>
      <c r="C45" s="33" t="s">
        <v>1191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CAN</v>
      </c>
    </row>
    <row r="46" spans="1:36" ht="12.75">
      <c r="A46" s="6">
        <v>5.14</v>
      </c>
      <c r="B46" s="33"/>
      <c r="C46" s="33" t="s">
        <v>46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CAN</v>
      </c>
    </row>
    <row r="47" spans="1:36" ht="12.75">
      <c r="A47" s="6">
        <v>5.15</v>
      </c>
      <c r="B47" s="33"/>
      <c r="C47" s="33" t="s">
        <v>46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CAN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/>
      <c r="C49" s="33" t="s">
        <v>46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CAN</v>
      </c>
    </row>
    <row r="50" spans="1:36" ht="12.75">
      <c r="A50" s="6">
        <v>5.18</v>
      </c>
      <c r="B50" s="33"/>
      <c r="C50" s="33" t="s">
        <v>46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CAN</v>
      </c>
    </row>
    <row r="51" spans="1:36" ht="12.75">
      <c r="A51" s="6">
        <v>5.19</v>
      </c>
      <c r="B51" s="33" t="s">
        <v>32</v>
      </c>
      <c r="C51" s="33" t="s">
        <v>34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CAN</v>
      </c>
    </row>
    <row r="52" spans="1:36" ht="12.75">
      <c r="A52" s="6">
        <v>5.2</v>
      </c>
      <c r="B52" s="33" t="s">
        <v>32</v>
      </c>
      <c r="C52" s="33" t="s">
        <v>34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CAN</v>
      </c>
    </row>
    <row r="53" spans="1:36" ht="12.75">
      <c r="A53" s="6">
        <v>5.21</v>
      </c>
      <c r="B53" s="33" t="s">
        <v>32</v>
      </c>
      <c r="C53" s="33" t="s">
        <v>34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CAN</v>
      </c>
    </row>
    <row r="54" spans="1:36" ht="12.75">
      <c r="A54" s="6">
        <v>5.22</v>
      </c>
      <c r="B54" s="33" t="s">
        <v>32</v>
      </c>
      <c r="C54" s="33" t="s">
        <v>34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CAN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13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CAN</v>
      </c>
    </row>
    <row r="57" spans="1:36" ht="12.75">
      <c r="A57" s="6">
        <v>5.25</v>
      </c>
      <c r="B57" s="33" t="s">
        <v>32</v>
      </c>
      <c r="C57" s="33" t="s">
        <v>13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CAN</v>
      </c>
    </row>
    <row r="58" spans="1:36" ht="12.75">
      <c r="A58" s="6">
        <v>5.26</v>
      </c>
      <c r="B58" s="33" t="s">
        <v>32</v>
      </c>
      <c r="C58" s="33" t="s">
        <v>13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CAN</v>
      </c>
    </row>
    <row r="59" spans="1:36" ht="12.75">
      <c r="A59" s="6">
        <v>5.27</v>
      </c>
      <c r="B59" s="33" t="s">
        <v>32</v>
      </c>
      <c r="C59" s="33" t="s">
        <v>13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CAN</v>
      </c>
    </row>
    <row r="60" spans="1:36" ht="12.75">
      <c r="A60" s="6">
        <v>5.28</v>
      </c>
      <c r="B60" s="33" t="s">
        <v>32</v>
      </c>
      <c r="C60" s="33" t="s">
        <v>49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CAN</v>
      </c>
    </row>
    <row r="61" spans="1:36" ht="12.75">
      <c r="A61" s="6">
        <v>5.29</v>
      </c>
      <c r="B61" s="33" t="s">
        <v>32</v>
      </c>
      <c r="C61" s="33" t="s">
        <v>49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CAN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49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CAN</v>
      </c>
    </row>
    <row r="64" spans="1:36" ht="12.75">
      <c r="A64" s="6">
        <v>6.01</v>
      </c>
      <c r="B64" s="33"/>
      <c r="C64" s="33" t="s">
        <v>43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CAN</v>
      </c>
    </row>
    <row r="65" spans="1:36" ht="12.75">
      <c r="A65" s="6">
        <v>6.02</v>
      </c>
      <c r="B65" s="33"/>
      <c r="C65" s="33" t="s">
        <v>43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CAN</v>
      </c>
    </row>
    <row r="66" spans="1:36" ht="12.75">
      <c r="A66" s="6">
        <v>6.03</v>
      </c>
      <c r="B66" s="33"/>
      <c r="C66" s="33" t="s">
        <v>43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CAN</v>
      </c>
    </row>
    <row r="67" spans="1:36" ht="12.75">
      <c r="A67" s="6">
        <v>6.04</v>
      </c>
      <c r="B67" s="33"/>
      <c r="C67" s="33" t="s">
        <v>43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CAN</v>
      </c>
    </row>
    <row r="68" spans="1:36" ht="12.75">
      <c r="A68" s="6">
        <v>6.05</v>
      </c>
      <c r="B68" s="33"/>
      <c r="C68" s="33" t="s">
        <v>16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CAN</v>
      </c>
    </row>
    <row r="69" spans="1:36" ht="12.75">
      <c r="A69" s="6">
        <v>6.06</v>
      </c>
      <c r="B69" s="33"/>
      <c r="C69" s="33" t="s">
        <v>16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CAN</v>
      </c>
    </row>
    <row r="70" spans="1:36" ht="12.75">
      <c r="A70" s="6">
        <v>6.07</v>
      </c>
      <c r="B70" s="33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3"/>
      <c r="C71" s="33" t="s">
        <v>16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CAN</v>
      </c>
    </row>
    <row r="72" spans="1:36" ht="12.75">
      <c r="A72" s="6">
        <v>6.09</v>
      </c>
      <c r="B72" s="33"/>
      <c r="C72" s="33" t="s">
        <v>16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CAN</v>
      </c>
    </row>
    <row r="73" spans="1:36" ht="12.75">
      <c r="A73" s="6">
        <v>6.1</v>
      </c>
      <c r="B73" s="33"/>
      <c r="C73" s="33" t="s">
        <v>44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CAN</v>
      </c>
    </row>
    <row r="74" spans="1:36" ht="12.75">
      <c r="A74" s="6">
        <v>6.11</v>
      </c>
      <c r="B74" s="33"/>
      <c r="C74" s="33" t="s">
        <v>44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CAN</v>
      </c>
    </row>
    <row r="75" spans="1:36" ht="12.75">
      <c r="A75" s="6">
        <v>6.12</v>
      </c>
      <c r="B75" s="33"/>
      <c r="C75" s="33" t="s">
        <v>44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CAN</v>
      </c>
    </row>
    <row r="76" spans="1:36" ht="12.75">
      <c r="A76" s="6">
        <v>6.13</v>
      </c>
      <c r="B76" s="33"/>
      <c r="C76" s="33" t="s">
        <v>44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CAN</v>
      </c>
    </row>
    <row r="77" spans="1:36" ht="12.75">
      <c r="A77" s="6">
        <v>6.14</v>
      </c>
      <c r="B77" s="33" t="s">
        <v>32</v>
      </c>
      <c r="C77" s="33" t="s">
        <v>45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CAN</v>
      </c>
    </row>
    <row r="78" spans="1:36" ht="12.75">
      <c r="A78" s="6">
        <v>6.15</v>
      </c>
      <c r="B78" s="33" t="s">
        <v>32</v>
      </c>
      <c r="C78" s="33" t="s">
        <v>45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CAN</v>
      </c>
    </row>
    <row r="79" spans="1:36" ht="12.75">
      <c r="A79" s="6">
        <v>6.16</v>
      </c>
      <c r="B79" s="33" t="s">
        <v>32</v>
      </c>
      <c r="C79" s="33" t="s">
        <v>45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CAN</v>
      </c>
    </row>
    <row r="80" spans="1:36" ht="12.75">
      <c r="A80" s="6">
        <v>6.17</v>
      </c>
      <c r="B80" s="33" t="s">
        <v>32</v>
      </c>
      <c r="C80" s="33" t="s">
        <v>45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CAN</v>
      </c>
    </row>
    <row r="81" spans="1:36" ht="12.75">
      <c r="A81" s="6">
        <v>6.18</v>
      </c>
      <c r="B81" s="33"/>
      <c r="C81" s="33" t="s">
        <v>41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CAN</v>
      </c>
    </row>
    <row r="82" spans="1:36" ht="12.75">
      <c r="A82" s="6">
        <v>6.19</v>
      </c>
      <c r="B82" s="33"/>
      <c r="C82" s="33" t="s">
        <v>41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CAN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3"/>
      <c r="C84" s="33" t="s">
        <v>41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CAN</v>
      </c>
    </row>
    <row r="85" spans="1:36" ht="12.75">
      <c r="A85" s="6">
        <v>6.22</v>
      </c>
      <c r="B85" s="33"/>
      <c r="C85" s="33" t="s">
        <v>41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CAN</v>
      </c>
    </row>
    <row r="86" spans="1:36" ht="12.75">
      <c r="A86" s="6">
        <v>6.23</v>
      </c>
      <c r="B86" s="33"/>
      <c r="C86" s="33" t="s">
        <v>52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CAN</v>
      </c>
    </row>
    <row r="87" spans="1:36" ht="12.75">
      <c r="A87" s="6">
        <v>6.24</v>
      </c>
      <c r="B87" s="33"/>
      <c r="C87" s="33" t="s">
        <v>52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CAN</v>
      </c>
    </row>
    <row r="88" spans="1:36" ht="12.75">
      <c r="A88" s="6">
        <v>6.25</v>
      </c>
      <c r="B88" s="33"/>
      <c r="C88" s="33" t="s">
        <v>52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CAN</v>
      </c>
    </row>
    <row r="89" spans="1:36" ht="12.75">
      <c r="A89" s="6">
        <v>6.26</v>
      </c>
      <c r="B89" s="33"/>
      <c r="C89" s="33" t="s">
        <v>52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CAN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5">
      <c r="A91" s="6">
        <v>6.28</v>
      </c>
      <c r="B91" s="32" t="s">
        <v>32</v>
      </c>
      <c r="C91" s="36" t="s">
        <v>35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CAN</v>
      </c>
    </row>
    <row r="92" spans="1:36" ht="15">
      <c r="A92" s="6">
        <v>6.29</v>
      </c>
      <c r="B92" s="32" t="s">
        <v>32</v>
      </c>
      <c r="C92" s="36" t="s">
        <v>35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CAN</v>
      </c>
    </row>
    <row r="93" spans="1:36" ht="15">
      <c r="A93" s="6">
        <v>6.3</v>
      </c>
      <c r="B93" s="32" t="s">
        <v>32</v>
      </c>
      <c r="C93" s="36" t="s">
        <v>35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CAN</v>
      </c>
    </row>
    <row r="94" spans="1:36" ht="12.75">
      <c r="A94" s="6">
        <v>7.01</v>
      </c>
      <c r="B94" s="33"/>
      <c r="C94" s="33" t="s">
        <v>55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CAN</v>
      </c>
    </row>
    <row r="95" spans="1:36" ht="12.75">
      <c r="A95" s="6">
        <v>7.02</v>
      </c>
      <c r="B95" s="33"/>
      <c r="C95" s="33" t="s">
        <v>55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CAN</v>
      </c>
    </row>
    <row r="96" spans="1:36" ht="12.75">
      <c r="A96" s="6">
        <v>7.03</v>
      </c>
      <c r="B96" s="33"/>
      <c r="C96" s="33" t="s">
        <v>55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CAN</v>
      </c>
    </row>
    <row r="97" spans="1:36" ht="12.75">
      <c r="A97" s="6">
        <v>7.04</v>
      </c>
      <c r="B97" s="33"/>
      <c r="C97" s="33" t="s">
        <v>56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CAN</v>
      </c>
    </row>
    <row r="98" spans="1:36" ht="12.75">
      <c r="A98" s="6">
        <v>7.05</v>
      </c>
      <c r="B98" s="33"/>
      <c r="C98" s="33" t="s">
        <v>56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CAN</v>
      </c>
    </row>
    <row r="99" spans="1:36" ht="12.75">
      <c r="A99" s="6">
        <v>7.06</v>
      </c>
      <c r="B99" s="33"/>
      <c r="C99" s="33" t="s">
        <v>56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CAN</v>
      </c>
    </row>
    <row r="100" spans="1:36" ht="12.75">
      <c r="A100" s="6">
        <v>7.07</v>
      </c>
      <c r="B100" s="33"/>
      <c r="C100" s="33" t="s">
        <v>53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CAN</v>
      </c>
    </row>
    <row r="101" spans="1:36" ht="12.75">
      <c r="A101" s="6">
        <v>7.08</v>
      </c>
      <c r="B101" s="33"/>
      <c r="C101" s="33" t="s">
        <v>53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CAN</v>
      </c>
    </row>
    <row r="102" spans="1:36" ht="12.75">
      <c r="A102" s="6">
        <v>7.09</v>
      </c>
      <c r="B102" s="33"/>
      <c r="C102" s="33" t="s">
        <v>53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CAN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 t="s">
        <v>32</v>
      </c>
      <c r="C106" s="33" t="s">
        <v>48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CAN</v>
      </c>
    </row>
    <row r="107" spans="1:36" ht="12.75">
      <c r="A107" s="6">
        <v>7.14</v>
      </c>
      <c r="B107" s="33" t="s">
        <v>32</v>
      </c>
      <c r="C107" s="33" t="s">
        <v>48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CAN</v>
      </c>
    </row>
    <row r="108" spans="1:36" ht="12.75">
      <c r="A108" s="6">
        <v>7.15</v>
      </c>
      <c r="B108" s="33" t="s">
        <v>32</v>
      </c>
      <c r="C108" s="33" t="s">
        <v>48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CAN</v>
      </c>
    </row>
    <row r="109" spans="1:36" ht="12.75">
      <c r="A109" s="6">
        <v>7.16</v>
      </c>
      <c r="B109" s="33" t="s">
        <v>32</v>
      </c>
      <c r="C109" s="33" t="s">
        <v>17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CAN</v>
      </c>
    </row>
    <row r="110" spans="1:36" ht="12.75">
      <c r="A110" s="6">
        <v>7.17</v>
      </c>
      <c r="B110" s="33" t="s">
        <v>32</v>
      </c>
      <c r="C110" s="33" t="s">
        <v>17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CAN</v>
      </c>
    </row>
    <row r="111" spans="1:36" ht="12.75">
      <c r="A111" s="6">
        <v>7.18</v>
      </c>
      <c r="B111" s="33" t="s">
        <v>32</v>
      </c>
      <c r="C111" s="33" t="s">
        <v>17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CAN</v>
      </c>
    </row>
    <row r="112" spans="1:36" ht="12.75">
      <c r="A112" s="6">
        <v>7.19</v>
      </c>
      <c r="B112" s="33"/>
      <c r="C112" s="33" t="s">
        <v>1917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CAN</v>
      </c>
    </row>
    <row r="113" spans="1:36" ht="12.75">
      <c r="A113" s="6">
        <v>7.2</v>
      </c>
      <c r="B113" s="33"/>
      <c r="C113" s="33" t="s">
        <v>1917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CAN</v>
      </c>
    </row>
    <row r="114" spans="1:36" ht="12.75">
      <c r="A114" s="6">
        <v>7.21</v>
      </c>
      <c r="B114" s="33"/>
      <c r="C114" s="33" t="s">
        <v>1917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CAN</v>
      </c>
    </row>
    <row r="115" spans="1:36" ht="12.75">
      <c r="A115" s="6">
        <v>7.22</v>
      </c>
      <c r="B115" s="33"/>
      <c r="C115" s="33" t="s">
        <v>1917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CAN</v>
      </c>
    </row>
    <row r="116" spans="1:36" ht="12.75">
      <c r="A116" s="6">
        <v>7.23</v>
      </c>
      <c r="B116" s="33" t="s">
        <v>32</v>
      </c>
      <c r="C116" s="33" t="s">
        <v>14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CAN</v>
      </c>
    </row>
    <row r="117" spans="1:36" ht="12.75">
      <c r="A117" s="6">
        <v>7.24</v>
      </c>
      <c r="B117" s="33" t="s">
        <v>32</v>
      </c>
      <c r="C117" s="33" t="s">
        <v>14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CAN</v>
      </c>
    </row>
    <row r="118" spans="1:36" ht="12.75">
      <c r="A118" s="6">
        <v>7.25</v>
      </c>
      <c r="B118" s="33" t="s">
        <v>32</v>
      </c>
      <c r="C118" s="33" t="s">
        <v>14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CAN</v>
      </c>
    </row>
    <row r="119" spans="1:36" ht="12.75">
      <c r="A119" s="6">
        <v>7.26</v>
      </c>
      <c r="B119" s="33" t="s">
        <v>32</v>
      </c>
      <c r="C119" s="33" t="s">
        <v>14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CAN</v>
      </c>
    </row>
    <row r="120" spans="1:36" ht="12.75">
      <c r="A120" s="6">
        <v>7.27</v>
      </c>
      <c r="B120" s="32" t="s">
        <v>32</v>
      </c>
      <c r="C120" s="33" t="s">
        <v>33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CAN</v>
      </c>
    </row>
    <row r="121" spans="1:36" ht="12.75">
      <c r="A121" s="6">
        <v>7.28</v>
      </c>
      <c r="B121" s="32" t="s">
        <v>32</v>
      </c>
      <c r="C121" s="33" t="s">
        <v>33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CAN</v>
      </c>
    </row>
    <row r="122" spans="1:36" ht="12.75">
      <c r="A122" s="6">
        <v>7.29</v>
      </c>
      <c r="B122" s="32" t="s">
        <v>32</v>
      </c>
      <c r="C122" s="33" t="s">
        <v>33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CAN</v>
      </c>
    </row>
    <row r="123" spans="1:36" ht="12.75">
      <c r="A123" s="6">
        <v>7.3</v>
      </c>
      <c r="B123" s="32" t="s">
        <v>32</v>
      </c>
      <c r="C123" s="33" t="s">
        <v>33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CAN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12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CAN</v>
      </c>
    </row>
    <row r="126" spans="1:36" ht="12.75">
      <c r="A126" s="6">
        <v>8.02</v>
      </c>
      <c r="B126" s="33" t="s">
        <v>32</v>
      </c>
      <c r="C126" s="33" t="s">
        <v>12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CAN</v>
      </c>
    </row>
    <row r="127" spans="1:36" ht="12.75">
      <c r="A127" s="6">
        <v>8.0299999999999994</v>
      </c>
      <c r="B127" s="33" t="s">
        <v>32</v>
      </c>
      <c r="C127" s="33" t="s">
        <v>12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CAN</v>
      </c>
    </row>
    <row r="128" spans="1:36" ht="12.75">
      <c r="A128" s="6">
        <v>8.0399999999999991</v>
      </c>
      <c r="B128" s="33" t="s">
        <v>32</v>
      </c>
      <c r="C128" s="33" t="s">
        <v>12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CAN</v>
      </c>
    </row>
    <row r="129" spans="1:36" ht="12.75">
      <c r="A129" s="6">
        <v>8.0500000000000007</v>
      </c>
      <c r="B129" s="33" t="s">
        <v>32</v>
      </c>
      <c r="C129" s="33" t="s">
        <v>55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CAN</v>
      </c>
    </row>
    <row r="130" spans="1:36" ht="12.75">
      <c r="A130" s="6">
        <v>8.06</v>
      </c>
      <c r="B130" s="33" t="s">
        <v>32</v>
      </c>
      <c r="C130" s="33" t="s">
        <v>55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CAN</v>
      </c>
    </row>
    <row r="131" spans="1:36" ht="12.75">
      <c r="A131" s="6">
        <v>8.07</v>
      </c>
      <c r="B131" s="33" t="s">
        <v>32</v>
      </c>
      <c r="C131" s="33" t="s">
        <v>55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CAN</v>
      </c>
    </row>
    <row r="132" spans="1:36" ht="12.75">
      <c r="A132" s="6">
        <v>8.08</v>
      </c>
      <c r="B132" s="33" t="s">
        <v>32</v>
      </c>
      <c r="C132" s="33" t="s">
        <v>55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CAN</v>
      </c>
    </row>
    <row r="133" spans="1:36" ht="12.75">
      <c r="A133" s="6">
        <v>8.09</v>
      </c>
      <c r="B133" s="33"/>
      <c r="C133" s="33" t="s">
        <v>17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CAN</v>
      </c>
    </row>
    <row r="134" spans="1:36" ht="12.75">
      <c r="A134" s="6">
        <v>8.1</v>
      </c>
      <c r="B134" s="33"/>
      <c r="C134" s="33" t="s">
        <v>17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CAN</v>
      </c>
    </row>
    <row r="135" spans="1:36" ht="12.75">
      <c r="A135" s="6">
        <v>8.11</v>
      </c>
      <c r="B135" s="33"/>
      <c r="C135" s="33" t="s">
        <v>17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CAN</v>
      </c>
    </row>
    <row r="136" spans="1:36" ht="12.75">
      <c r="A136" s="6">
        <v>8.1199999999999992</v>
      </c>
      <c r="B136" s="33"/>
      <c r="C136" s="33" t="s">
        <v>17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CAN</v>
      </c>
    </row>
    <row r="137" spans="1:36" ht="12.75">
      <c r="A137" s="6">
        <v>8.1300000000000008</v>
      </c>
      <c r="B137" s="32"/>
      <c r="C137" s="33" t="s">
        <v>35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CAN</v>
      </c>
    </row>
    <row r="138" spans="1:36" ht="12.75">
      <c r="A138" s="6">
        <v>8.14</v>
      </c>
      <c r="B138" s="32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2"/>
      <c r="C139" s="33" t="s">
        <v>35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CAN</v>
      </c>
    </row>
    <row r="140" spans="1:36" ht="12.75">
      <c r="A140" s="6">
        <v>8.16</v>
      </c>
      <c r="B140" s="32"/>
      <c r="C140" s="33" t="s">
        <v>35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CAN</v>
      </c>
    </row>
    <row r="141" spans="1:36" ht="12.75">
      <c r="A141" s="6">
        <v>8.17</v>
      </c>
      <c r="B141" s="32"/>
      <c r="C141" s="33" t="s">
        <v>35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CAN</v>
      </c>
    </row>
    <row r="142" spans="1:36" ht="12.75">
      <c r="A142" s="6">
        <v>8.18</v>
      </c>
      <c r="B142" s="33"/>
      <c r="C142" s="33" t="s">
        <v>40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CAN</v>
      </c>
    </row>
    <row r="143" spans="1:36" ht="12.75">
      <c r="A143" s="6">
        <v>8.19</v>
      </c>
      <c r="B143" s="33"/>
      <c r="C143" s="33" t="s">
        <v>40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CAN</v>
      </c>
    </row>
    <row r="144" spans="1:36" ht="12.75">
      <c r="A144" s="6">
        <v>8.1999999999999993</v>
      </c>
      <c r="B144" s="33"/>
      <c r="C144" s="33" t="s">
        <v>40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CAN</v>
      </c>
    </row>
    <row r="145" spans="1:36" ht="12.75">
      <c r="A145" s="6">
        <v>8.2100000000000009</v>
      </c>
      <c r="B145" s="33"/>
      <c r="C145" s="33" t="s">
        <v>48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CAN</v>
      </c>
    </row>
    <row r="146" spans="1:36" ht="12.75">
      <c r="A146" s="6">
        <v>8.2200000000000006</v>
      </c>
      <c r="B146" s="33"/>
      <c r="C146" s="33" t="s">
        <v>48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CAN</v>
      </c>
    </row>
    <row r="147" spans="1:36" ht="12.75">
      <c r="A147" s="6">
        <v>8.23</v>
      </c>
      <c r="B147" s="33"/>
      <c r="C147" s="33" t="s">
        <v>48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CAN</v>
      </c>
    </row>
    <row r="148" spans="1:36" ht="12.75">
      <c r="A148" s="6">
        <v>8.24</v>
      </c>
      <c r="B148" s="33"/>
      <c r="C148" s="33" t="s">
        <v>48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CAN</v>
      </c>
    </row>
    <row r="149" spans="1:36" ht="12.75">
      <c r="A149" s="6">
        <v>8.25</v>
      </c>
      <c r="B149" s="32" t="s">
        <v>32</v>
      </c>
      <c r="C149" s="33" t="s">
        <v>56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CAN</v>
      </c>
    </row>
    <row r="150" spans="1:36" ht="12.75">
      <c r="A150" s="6">
        <v>8.26</v>
      </c>
      <c r="B150" s="32" t="s">
        <v>32</v>
      </c>
      <c r="C150" s="33" t="s">
        <v>56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CAN</v>
      </c>
    </row>
    <row r="151" spans="1:36" ht="12.75">
      <c r="A151" s="6">
        <v>8.27</v>
      </c>
      <c r="B151" s="32" t="s">
        <v>32</v>
      </c>
      <c r="C151" s="33" t="s">
        <v>56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CAN</v>
      </c>
    </row>
    <row r="152" spans="1:36" ht="12.75">
      <c r="A152" s="6">
        <v>8.2799999999999994</v>
      </c>
      <c r="B152" s="32" t="s">
        <v>32</v>
      </c>
      <c r="C152" s="33" t="s">
        <v>56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CAN</v>
      </c>
    </row>
    <row r="153" spans="1:36" ht="12.75">
      <c r="A153" s="6">
        <v>8.2899999999999991</v>
      </c>
      <c r="B153" s="33" t="s">
        <v>32</v>
      </c>
      <c r="C153" s="33" t="s">
        <v>42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CAN</v>
      </c>
    </row>
    <row r="154" spans="1:36" ht="12.75">
      <c r="A154" s="6">
        <v>8.3000000000000007</v>
      </c>
      <c r="B154" s="33" t="s">
        <v>32</v>
      </c>
      <c r="C154" s="33" t="s">
        <v>42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CAN</v>
      </c>
    </row>
    <row r="155" spans="1:36" ht="12.75">
      <c r="A155" s="6">
        <v>8.31</v>
      </c>
      <c r="B155" s="33" t="s">
        <v>32</v>
      </c>
      <c r="C155" s="33" t="s">
        <v>42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CAN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2"/>
      <c r="C157" s="33" t="s">
        <v>34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CAN</v>
      </c>
    </row>
    <row r="158" spans="1:36" ht="12.75">
      <c r="A158" s="6">
        <v>9.0299999999999994</v>
      </c>
      <c r="B158" s="32"/>
      <c r="C158" s="33" t="s">
        <v>34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CAN</v>
      </c>
    </row>
    <row r="159" spans="1:36" ht="12.75">
      <c r="A159" s="6">
        <v>9.0399999999999991</v>
      </c>
      <c r="B159" s="32"/>
      <c r="C159" s="33" t="s">
        <v>34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CAN</v>
      </c>
    </row>
    <row r="160" spans="1:36" ht="12.75">
      <c r="A160" s="6">
        <v>9.0500000000000007</v>
      </c>
      <c r="B160" s="33" t="s">
        <v>32</v>
      </c>
      <c r="C160" s="33" t="s">
        <v>16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CAN</v>
      </c>
    </row>
    <row r="161" spans="1:36" ht="12.75">
      <c r="A161" s="6">
        <v>9.06</v>
      </c>
      <c r="B161" s="33" t="s">
        <v>32</v>
      </c>
      <c r="C161" s="33" t="s">
        <v>16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CAN</v>
      </c>
    </row>
    <row r="162" spans="1:36" ht="12.75">
      <c r="A162" s="6">
        <v>9.07</v>
      </c>
      <c r="B162" s="33" t="s">
        <v>32</v>
      </c>
      <c r="C162" s="33" t="s">
        <v>16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CAN</v>
      </c>
    </row>
    <row r="163" spans="1:36" ht="12.75">
      <c r="A163" s="6">
        <v>9.08</v>
      </c>
      <c r="B163" s="33" t="s">
        <v>32</v>
      </c>
      <c r="C163" s="33" t="s">
        <v>46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CAN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 t="s">
        <v>32</v>
      </c>
      <c r="C165" s="33" t="s">
        <v>46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CAN</v>
      </c>
    </row>
    <row r="166" spans="1:36" ht="12.75">
      <c r="A166" s="6">
        <v>9.11</v>
      </c>
      <c r="B166" s="33" t="s">
        <v>32</v>
      </c>
      <c r="C166" s="33" t="s">
        <v>46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CAN</v>
      </c>
    </row>
    <row r="167" spans="1:36" ht="12.75">
      <c r="A167" s="6">
        <v>9.1199999999999992</v>
      </c>
      <c r="B167" s="33"/>
      <c r="C167" s="33" t="s">
        <v>49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CAN</v>
      </c>
    </row>
    <row r="168" spans="1:36" ht="12.75">
      <c r="A168" s="6">
        <v>9.1300000000000008</v>
      </c>
      <c r="B168" s="33"/>
      <c r="C168" s="33" t="s">
        <v>49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CAN</v>
      </c>
    </row>
    <row r="169" spans="1:36" ht="12.75">
      <c r="A169" s="6">
        <v>9.14</v>
      </c>
      <c r="B169" s="33"/>
      <c r="C169" s="33" t="s">
        <v>49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CAN</v>
      </c>
    </row>
    <row r="170" spans="1:36" ht="12.75">
      <c r="A170" s="6">
        <v>9.15</v>
      </c>
      <c r="B170" s="33"/>
      <c r="C170" s="33" t="s">
        <v>49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CAN</v>
      </c>
    </row>
    <row r="171" spans="1:36" ht="12.75">
      <c r="A171" s="6">
        <v>9.16</v>
      </c>
      <c r="B171" s="33"/>
      <c r="C171" s="33" t="s">
        <v>12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CAN</v>
      </c>
    </row>
    <row r="172" spans="1:36" ht="12.75">
      <c r="A172" s="6">
        <v>9.17</v>
      </c>
      <c r="B172" s="33"/>
      <c r="C172" s="33" t="s">
        <v>12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CAN</v>
      </c>
    </row>
    <row r="173" spans="1:36" ht="12.75">
      <c r="A173" s="6">
        <v>9.18</v>
      </c>
      <c r="B173" s="33"/>
      <c r="C173" s="33" t="s">
        <v>12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CAN</v>
      </c>
    </row>
    <row r="174" spans="1:36" ht="12.75">
      <c r="A174" s="6">
        <v>9.19</v>
      </c>
      <c r="B174" s="33" t="s">
        <v>32</v>
      </c>
      <c r="C174" s="33" t="s">
        <v>53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CAN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 t="s">
        <v>32</v>
      </c>
      <c r="C176" s="33" t="s">
        <v>53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CAN</v>
      </c>
    </row>
    <row r="177" spans="1:36" ht="12.75">
      <c r="A177" s="6">
        <v>9.2200000000000006</v>
      </c>
      <c r="B177" s="33" t="s">
        <v>32</v>
      </c>
      <c r="C177" s="33" t="s">
        <v>53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CAN</v>
      </c>
    </row>
    <row r="178" spans="1:36" ht="12.75">
      <c r="A178" s="6">
        <v>9.23</v>
      </c>
      <c r="B178" s="33" t="s">
        <v>32</v>
      </c>
      <c r="C178" s="33" t="s">
        <v>53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CAN</v>
      </c>
    </row>
    <row r="179" spans="1:36" ht="12.75">
      <c r="A179" s="6">
        <v>9.24</v>
      </c>
      <c r="B179" s="33"/>
      <c r="C179" s="33" t="s">
        <v>1919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CAN</v>
      </c>
    </row>
    <row r="180" spans="1:36" ht="12.75">
      <c r="A180" s="6">
        <v>9.25</v>
      </c>
      <c r="B180" s="33"/>
      <c r="C180" s="33" t="s">
        <v>1919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CAN</v>
      </c>
    </row>
    <row r="181" spans="1:36" ht="12.75">
      <c r="A181" s="6">
        <v>9.26</v>
      </c>
      <c r="B181" s="33"/>
      <c r="C181" s="33" t="s">
        <v>1919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CAN</v>
      </c>
    </row>
    <row r="182" spans="1:36" ht="12.75">
      <c r="A182" s="6">
        <v>9.27</v>
      </c>
      <c r="B182" s="33" t="s">
        <v>32</v>
      </c>
      <c r="C182" s="33" t="s">
        <v>52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CAN</v>
      </c>
    </row>
    <row r="183" spans="1:36" ht="12.75">
      <c r="A183" s="6">
        <v>9.2799999999999994</v>
      </c>
      <c r="B183" s="33" t="s">
        <v>32</v>
      </c>
      <c r="C183" s="33" t="s">
        <v>52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CAN</v>
      </c>
    </row>
    <row r="184" spans="1:36" ht="12.75">
      <c r="A184" s="6">
        <v>9.2899999999999991</v>
      </c>
      <c r="B184" s="33" t="s">
        <v>32</v>
      </c>
      <c r="C184" s="33" t="s">
        <v>52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CAN</v>
      </c>
    </row>
    <row r="185" spans="1:36" ht="12.75">
      <c r="A185" s="6">
        <v>9.3000000000000007</v>
      </c>
      <c r="B185" s="33" t="s">
        <v>32</v>
      </c>
      <c r="C185" s="33" t="s">
        <v>52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CAN</v>
      </c>
    </row>
    <row r="186" spans="1:36">
      <c r="C186" s="2"/>
      <c r="D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5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D194" s="2"/>
      <c r="K194" s="2"/>
      <c r="AJ194" s="2"/>
    </row>
    <row r="195" spans="3:36">
      <c r="C195" s="2"/>
      <c r="D195" s="2"/>
      <c r="K195" s="2"/>
      <c r="AJ195" s="2"/>
    </row>
    <row r="196" spans="3:36">
      <c r="C196" s="2"/>
      <c r="D196" s="2"/>
      <c r="K196" s="2"/>
      <c r="AJ196" s="2"/>
    </row>
    <row r="197" spans="3:36">
      <c r="C197" s="2"/>
      <c r="D197" s="2"/>
      <c r="K197" s="2"/>
      <c r="AJ197" s="2"/>
    </row>
    <row r="198" spans="3:36">
      <c r="C198" s="2"/>
      <c r="D198" s="2"/>
      <c r="K198" s="2"/>
      <c r="AJ198" s="2"/>
    </row>
    <row r="199" spans="3:36">
      <c r="C199" s="2"/>
      <c r="D199" s="2"/>
      <c r="K199" s="2"/>
      <c r="AJ199" s="2"/>
    </row>
    <row r="200" spans="3:36">
      <c r="C200" s="2"/>
      <c r="D200" s="2"/>
      <c r="K200" s="2"/>
      <c r="AJ200" s="2"/>
    </row>
    <row r="201" spans="3:36">
      <c r="C201" s="2"/>
      <c r="D201" s="2"/>
      <c r="K201" s="2"/>
      <c r="AJ201" s="2"/>
    </row>
    <row r="202" spans="3:36">
      <c r="C202" s="2"/>
      <c r="D202" s="2"/>
      <c r="K202" s="2"/>
      <c r="AJ202" s="2"/>
    </row>
    <row r="203" spans="3:36">
      <c r="C203" s="2"/>
      <c r="D203" s="2"/>
      <c r="K203" s="2"/>
      <c r="AJ203" s="2"/>
    </row>
    <row r="204" spans="3:36">
      <c r="C204" s="2"/>
      <c r="D204" s="2"/>
      <c r="AJ204" s="2"/>
    </row>
    <row r="205" spans="3:36">
      <c r="C205" s="2"/>
      <c r="D205" s="2"/>
      <c r="AJ205" s="2"/>
    </row>
    <row r="206" spans="3:36">
      <c r="C206" s="2"/>
      <c r="D206" s="2"/>
      <c r="AJ206" s="2"/>
    </row>
    <row r="207" spans="3:36">
      <c r="C207" s="2"/>
      <c r="D207" s="2"/>
      <c r="AJ207" s="2"/>
    </row>
    <row r="208" spans="3:36">
      <c r="C208" s="2"/>
      <c r="D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</sheetData>
  <phoneticPr fontId="0" type="noConversion"/>
  <conditionalFormatting sqref="AK3:AK22">
    <cfRule type="cellIs" dxfId="7118" priority="2496" stopIfTrue="1" operator="equal">
      <formula>"must average at least 5 innings per start"</formula>
    </cfRule>
  </conditionalFormatting>
  <conditionalFormatting sqref="AK23">
    <cfRule type="cellIs" dxfId="7117" priority="2497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7116" priority="2498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7115" priority="2499" stopIfTrue="1" operator="equal">
      <formula>"input a different starter in column C"</formula>
    </cfRule>
  </conditionalFormatting>
  <conditionalFormatting sqref="AG3:AG22">
    <cfRule type="cellIs" dxfId="7114" priority="2046" stopIfTrue="1" operator="equal">
      <formula>"must average at least 5 innings per start"</formula>
    </cfRule>
  </conditionalFormatting>
  <conditionalFormatting sqref="AG23">
    <cfRule type="cellIs" dxfId="7113" priority="2045" stopIfTrue="1" operator="equal">
      <formula>"must have 162 starts"</formula>
    </cfRule>
  </conditionalFormatting>
  <conditionalFormatting sqref="P3">
    <cfRule type="cellIs" dxfId="7112" priority="2044" stopIfTrue="1" operator="equal">
      <formula>"input starter in column D"</formula>
    </cfRule>
  </conditionalFormatting>
  <conditionalFormatting sqref="P4">
    <cfRule type="cellIs" dxfId="7111" priority="2043" stopIfTrue="1" operator="equal">
      <formula>"input starter in column D"</formula>
    </cfRule>
  </conditionalFormatting>
  <conditionalFormatting sqref="P5">
    <cfRule type="cellIs" dxfId="7110" priority="2042" stopIfTrue="1" operator="equal">
      <formula>"INPUT STARTER IN COLUMN D"</formula>
    </cfRule>
  </conditionalFormatting>
  <conditionalFormatting sqref="P6">
    <cfRule type="cellIs" dxfId="7109" priority="2041" stopIfTrue="1" operator="equal">
      <formula>"INPUT STARTER IN COLUMN D"</formula>
    </cfRule>
  </conditionalFormatting>
  <conditionalFormatting sqref="P8">
    <cfRule type="cellIs" dxfId="7108" priority="2040" stopIfTrue="1" operator="equal">
      <formula>"INPUT STARTER IN COLUMN D"</formula>
    </cfRule>
  </conditionalFormatting>
  <conditionalFormatting sqref="P9">
    <cfRule type="cellIs" dxfId="7107" priority="2039" stopIfTrue="1" operator="equal">
      <formula>"INPUT STARTER IN COLUMN D"</formula>
    </cfRule>
  </conditionalFormatting>
  <conditionalFormatting sqref="P10">
    <cfRule type="cellIs" dxfId="7106" priority="2038" stopIfTrue="1" operator="equal">
      <formula>"INPUT STARTER IN COLUMN D"</formula>
    </cfRule>
  </conditionalFormatting>
  <conditionalFormatting sqref="P11">
    <cfRule type="cellIs" dxfId="7105" priority="2037" stopIfTrue="1" operator="equal">
      <formula>"INPUT STARTER IN COLUMN D"</formula>
    </cfRule>
  </conditionalFormatting>
  <conditionalFormatting sqref="P13">
    <cfRule type="cellIs" dxfId="7104" priority="2036" stopIfTrue="1" operator="equal">
      <formula>"INPUT STARTER IN COLUMN D"</formula>
    </cfRule>
  </conditionalFormatting>
  <conditionalFormatting sqref="P14">
    <cfRule type="cellIs" dxfId="7103" priority="2035" stopIfTrue="1" operator="equal">
      <formula>"INPUT STARTER IN COLUMN D"</formula>
    </cfRule>
  </conditionalFormatting>
  <conditionalFormatting sqref="P15">
    <cfRule type="cellIs" dxfId="7102" priority="2034" stopIfTrue="1" operator="equal">
      <formula>"INPUT STARTER IN COLUMN D"</formula>
    </cfRule>
  </conditionalFormatting>
  <conditionalFormatting sqref="P16">
    <cfRule type="cellIs" dxfId="7101" priority="2033" stopIfTrue="1" operator="equal">
      <formula>"INPUT STARTER IN COLUMN D"</formula>
    </cfRule>
  </conditionalFormatting>
  <conditionalFormatting sqref="P18">
    <cfRule type="cellIs" dxfId="7100" priority="2032" stopIfTrue="1" operator="equal">
      <formula>"INPUT STARTER IN COLUMN D"</formula>
    </cfRule>
  </conditionalFormatting>
  <conditionalFormatting sqref="P19">
    <cfRule type="cellIs" dxfId="7099" priority="2031" stopIfTrue="1" operator="equal">
      <formula>"INPUT STARTER IN COLUMN D"</formula>
    </cfRule>
  </conditionalFormatting>
  <conditionalFormatting sqref="P20">
    <cfRule type="cellIs" dxfId="7098" priority="2030" stopIfTrue="1" operator="equal">
      <formula>"INPUT STARTER IN COLUMN D"</formula>
    </cfRule>
  </conditionalFormatting>
  <conditionalFormatting sqref="P21">
    <cfRule type="cellIs" dxfId="7097" priority="2029" stopIfTrue="1" operator="equal">
      <formula>"INPUT STARTER IN COLUMN D"</formula>
    </cfRule>
  </conditionalFormatting>
  <conditionalFormatting sqref="P23">
    <cfRule type="cellIs" dxfId="7096" priority="2028" stopIfTrue="1" operator="equal">
      <formula>"INPUT STARTER IN COLUMN D"</formula>
    </cfRule>
  </conditionalFormatting>
  <conditionalFormatting sqref="P24">
    <cfRule type="cellIs" dxfId="7095" priority="2027" stopIfTrue="1" operator="equal">
      <formula>"INPUT STARTER IN COLUMN D"</formula>
    </cfRule>
  </conditionalFormatting>
  <conditionalFormatting sqref="P25">
    <cfRule type="cellIs" dxfId="7094" priority="2026" stopIfTrue="1" operator="equal">
      <formula>"INPUT STARTER IN COLUMN D"</formula>
    </cfRule>
  </conditionalFormatting>
  <conditionalFormatting sqref="P26">
    <cfRule type="cellIs" dxfId="7093" priority="2025" stopIfTrue="1" operator="equal">
      <formula>"INPUT STARTER IN COLUMN D"</formula>
    </cfRule>
  </conditionalFormatting>
  <conditionalFormatting sqref="P28">
    <cfRule type="cellIs" dxfId="7092" priority="2024" stopIfTrue="1" operator="equal">
      <formula>"INPUT STARTER IN COLUMN D"</formula>
    </cfRule>
  </conditionalFormatting>
  <conditionalFormatting sqref="P29">
    <cfRule type="cellIs" dxfId="7091" priority="2023" stopIfTrue="1" operator="equal">
      <formula>"INPUT STARTER IN COLUMN D"</formula>
    </cfRule>
  </conditionalFormatting>
  <conditionalFormatting sqref="P30">
    <cfRule type="cellIs" dxfId="7090" priority="2022" stopIfTrue="1" operator="equal">
      <formula>"INPUT STARTER IN COLUMN D"</formula>
    </cfRule>
  </conditionalFormatting>
  <conditionalFormatting sqref="P31">
    <cfRule type="cellIs" dxfId="7089" priority="2021" stopIfTrue="1" operator="equal">
      <formula>"INPUT STARTER IN COLUMN D"</formula>
    </cfRule>
  </conditionalFormatting>
  <conditionalFormatting sqref="P33">
    <cfRule type="cellIs" dxfId="7088" priority="2020" stopIfTrue="1" operator="equal">
      <formula>"INPUT STARTER IN COLUMN D"</formula>
    </cfRule>
  </conditionalFormatting>
  <conditionalFormatting sqref="P34">
    <cfRule type="cellIs" dxfId="7087" priority="2019" stopIfTrue="1" operator="equal">
      <formula>"INPUT STARTER IN COLUMN D"</formula>
    </cfRule>
  </conditionalFormatting>
  <conditionalFormatting sqref="P35">
    <cfRule type="cellIs" dxfId="7086" priority="2018" stopIfTrue="1" operator="equal">
      <formula>"INPUT STARTER IN COLUMN D"</formula>
    </cfRule>
  </conditionalFormatting>
  <conditionalFormatting sqref="P36">
    <cfRule type="cellIs" dxfId="7085" priority="2017" stopIfTrue="1" operator="equal">
      <formula>"INPUT STARTER IN COLUMN D"</formula>
    </cfRule>
  </conditionalFormatting>
  <conditionalFormatting sqref="P37">
    <cfRule type="cellIs" dxfId="7084" priority="2016" stopIfTrue="1" operator="equal">
      <formula>"INPUT STARTER IN COLUMN D"</formula>
    </cfRule>
  </conditionalFormatting>
  <conditionalFormatting sqref="P38">
    <cfRule type="cellIs" dxfId="7083" priority="2015" stopIfTrue="1" operator="equal">
      <formula>"INPUT STARTER IN COLUMN D"</formula>
    </cfRule>
  </conditionalFormatting>
  <conditionalFormatting sqref="P39">
    <cfRule type="cellIs" dxfId="7082" priority="2014" stopIfTrue="1" operator="equal">
      <formula>"INPUT STARTER IN COLUMN D"</formula>
    </cfRule>
  </conditionalFormatting>
  <conditionalFormatting sqref="P40">
    <cfRule type="cellIs" dxfId="7081" priority="2013" stopIfTrue="1" operator="equal">
      <formula>"INPUT STARTER IN COLUMN D"</formula>
    </cfRule>
  </conditionalFormatting>
  <conditionalFormatting sqref="P42">
    <cfRule type="cellIs" dxfId="7080" priority="2012" stopIfTrue="1" operator="equal">
      <formula>"INPUT STARTER IN COLUMN D"</formula>
    </cfRule>
  </conditionalFormatting>
  <conditionalFormatting sqref="P43">
    <cfRule type="cellIs" dxfId="7079" priority="2011" stopIfTrue="1" operator="equal">
      <formula>"INPUT STARTER IN COLUMN D"</formula>
    </cfRule>
  </conditionalFormatting>
  <conditionalFormatting sqref="P44">
    <cfRule type="cellIs" dxfId="7078" priority="2010" stopIfTrue="1" operator="equal">
      <formula>"INPUT STARTER IN COLUMN D"</formula>
    </cfRule>
  </conditionalFormatting>
  <conditionalFormatting sqref="P45">
    <cfRule type="cellIs" dxfId="7077" priority="2009" stopIfTrue="1" operator="equal">
      <formula>"INPUT STARTER IN COLUMN D"</formula>
    </cfRule>
  </conditionalFormatting>
  <conditionalFormatting sqref="P46">
    <cfRule type="cellIs" dxfId="7076" priority="2008" stopIfTrue="1" operator="equal">
      <formula>"INPUT STARTER IN COLUMN D"</formula>
    </cfRule>
  </conditionalFormatting>
  <conditionalFormatting sqref="P47">
    <cfRule type="cellIs" dxfId="7075" priority="2007" stopIfTrue="1" operator="equal">
      <formula>"INPUT STARTER IN COLUMN D"</formula>
    </cfRule>
  </conditionalFormatting>
  <conditionalFormatting sqref="P49">
    <cfRule type="cellIs" dxfId="7074" priority="2006" stopIfTrue="1" operator="equal">
      <formula>"INPUT STARTER IN COLUMN D"</formula>
    </cfRule>
  </conditionalFormatting>
  <conditionalFormatting sqref="P50">
    <cfRule type="cellIs" dxfId="7073" priority="2005" stopIfTrue="1" operator="equal">
      <formula>"INPUT STARTER IN COLUMN D"</formula>
    </cfRule>
  </conditionalFormatting>
  <conditionalFormatting sqref="P51">
    <cfRule type="cellIs" dxfId="7072" priority="2004" stopIfTrue="1" operator="equal">
      <formula>"INPUT STARTER IN COLUMN D"</formula>
    </cfRule>
  </conditionalFormatting>
  <conditionalFormatting sqref="P52">
    <cfRule type="cellIs" dxfId="7071" priority="2003" stopIfTrue="1" operator="equal">
      <formula>"INPUT STARTER IN COLUMN D"</formula>
    </cfRule>
  </conditionalFormatting>
  <conditionalFormatting sqref="P53">
    <cfRule type="cellIs" dxfId="7070" priority="2002" stopIfTrue="1" operator="equal">
      <formula>"INPUT STARTER IN COLUMN D"</formula>
    </cfRule>
  </conditionalFormatting>
  <conditionalFormatting sqref="P54">
    <cfRule type="cellIs" dxfId="7069" priority="2001" stopIfTrue="1" operator="equal">
      <formula>"INPUT STARTER IN COLUMN D"</formula>
    </cfRule>
  </conditionalFormatting>
  <conditionalFormatting sqref="P56">
    <cfRule type="cellIs" dxfId="7068" priority="2000" stopIfTrue="1" operator="equal">
      <formula>"INPUT STARTER IN COLUMN D"</formula>
    </cfRule>
  </conditionalFormatting>
  <conditionalFormatting sqref="P57">
    <cfRule type="cellIs" dxfId="7067" priority="1999" stopIfTrue="1" operator="equal">
      <formula>"INPUT STARTER IN COLUMN D"</formula>
    </cfRule>
  </conditionalFormatting>
  <conditionalFormatting sqref="P58">
    <cfRule type="cellIs" dxfId="7066" priority="1998" stopIfTrue="1" operator="equal">
      <formula>"INPUT STARTER IN COLUMN D"</formula>
    </cfRule>
  </conditionalFormatting>
  <conditionalFormatting sqref="P59">
    <cfRule type="cellIs" dxfId="7065" priority="1997" stopIfTrue="1" operator="equal">
      <formula>"INPUT STARTER IN COLUMN D"</formula>
    </cfRule>
  </conditionalFormatting>
  <conditionalFormatting sqref="P60">
    <cfRule type="cellIs" dxfId="7064" priority="1996" stopIfTrue="1" operator="equal">
      <formula>"INPUT STARTER IN COLUMN D"</formula>
    </cfRule>
  </conditionalFormatting>
  <conditionalFormatting sqref="P61">
    <cfRule type="cellIs" dxfId="7063" priority="1995" stopIfTrue="1" operator="equal">
      <formula>"INPUT STARTER IN COLUMN D"</formula>
    </cfRule>
  </conditionalFormatting>
  <conditionalFormatting sqref="P63">
    <cfRule type="cellIs" dxfId="7062" priority="1994" stopIfTrue="1" operator="equal">
      <formula>"INPUT STARTER IN COLUMN D"</formula>
    </cfRule>
  </conditionalFormatting>
  <conditionalFormatting sqref="P64">
    <cfRule type="cellIs" dxfId="7061" priority="1993" stopIfTrue="1" operator="equal">
      <formula>"INPUT STARTER IN COLUMN D"</formula>
    </cfRule>
  </conditionalFormatting>
  <conditionalFormatting sqref="P65">
    <cfRule type="cellIs" dxfId="7060" priority="1992" stopIfTrue="1" operator="equal">
      <formula>"INPUT STARTER IN COLUMN D"</formula>
    </cfRule>
  </conditionalFormatting>
  <conditionalFormatting sqref="P66">
    <cfRule type="cellIs" dxfId="7059" priority="1991" stopIfTrue="1" operator="equal">
      <formula>"INPUT STARTER IN COLUMN D"</formula>
    </cfRule>
  </conditionalFormatting>
  <conditionalFormatting sqref="P67">
    <cfRule type="cellIs" dxfId="7058" priority="1990" stopIfTrue="1" operator="equal">
      <formula>"INPUT STARTER IN COLUMN D"</formula>
    </cfRule>
  </conditionalFormatting>
  <conditionalFormatting sqref="P68">
    <cfRule type="cellIs" dxfId="7057" priority="1989" stopIfTrue="1" operator="equal">
      <formula>"INPUT STARTER IN COLUMN D"</formula>
    </cfRule>
  </conditionalFormatting>
  <conditionalFormatting sqref="P69">
    <cfRule type="cellIs" dxfId="7056" priority="1988" stopIfTrue="1" operator="equal">
      <formula>"INPUT STARTER IN COLUMN D"</formula>
    </cfRule>
  </conditionalFormatting>
  <conditionalFormatting sqref="P71">
    <cfRule type="cellIs" dxfId="7055" priority="1987" stopIfTrue="1" operator="equal">
      <formula>"INPUT STARTER IN COLUMN D"</formula>
    </cfRule>
  </conditionalFormatting>
  <conditionalFormatting sqref="P72">
    <cfRule type="cellIs" dxfId="7054" priority="1986" stopIfTrue="1" operator="equal">
      <formula>"INPUT STARTER IN COLUMN D"</formula>
    </cfRule>
  </conditionalFormatting>
  <conditionalFormatting sqref="P73">
    <cfRule type="cellIs" dxfId="7053" priority="1985" stopIfTrue="1" operator="equal">
      <formula>"INPUT STARTER IN COLUMN D"</formula>
    </cfRule>
  </conditionalFormatting>
  <conditionalFormatting sqref="P74">
    <cfRule type="cellIs" dxfId="7052" priority="1984" stopIfTrue="1" operator="equal">
      <formula>"INPUT STARTER IN COLUMN D"</formula>
    </cfRule>
  </conditionalFormatting>
  <conditionalFormatting sqref="P75">
    <cfRule type="cellIs" dxfId="7051" priority="1983" stopIfTrue="1" operator="equal">
      <formula>"INPUT STARTER IN COLUMN D"</formula>
    </cfRule>
  </conditionalFormatting>
  <conditionalFormatting sqref="P76">
    <cfRule type="cellIs" dxfId="7050" priority="1982" stopIfTrue="1" operator="equal">
      <formula>"INPUT STARTER IN COLUMN D"</formula>
    </cfRule>
  </conditionalFormatting>
  <conditionalFormatting sqref="P77">
    <cfRule type="cellIs" dxfId="7049" priority="1981" stopIfTrue="1" operator="equal">
      <formula>"INPUT STARTER IN COLUMN D"</formula>
    </cfRule>
  </conditionalFormatting>
  <conditionalFormatting sqref="P78">
    <cfRule type="cellIs" dxfId="7048" priority="1980" stopIfTrue="1" operator="equal">
      <formula>"INPUT STARTER IN COLUMN D"</formula>
    </cfRule>
  </conditionalFormatting>
  <conditionalFormatting sqref="P79">
    <cfRule type="cellIs" dxfId="7047" priority="1979" stopIfTrue="1" operator="equal">
      <formula>"INPUT STARTER IN COLUMN D"</formula>
    </cfRule>
  </conditionalFormatting>
  <conditionalFormatting sqref="P80">
    <cfRule type="cellIs" dxfId="7046" priority="1978" stopIfTrue="1" operator="equal">
      <formula>"INPUT STARTER IN COLUMN D"</formula>
    </cfRule>
  </conditionalFormatting>
  <conditionalFormatting sqref="P81">
    <cfRule type="cellIs" dxfId="7045" priority="1977" stopIfTrue="1" operator="equal">
      <formula>"INPUT STARTER IN COLUMN D"</formula>
    </cfRule>
  </conditionalFormatting>
  <conditionalFormatting sqref="P82">
    <cfRule type="cellIs" dxfId="7044" priority="1976" stopIfTrue="1" operator="equal">
      <formula>"INPUT STARTER IN COLUMN D"</formula>
    </cfRule>
  </conditionalFormatting>
  <conditionalFormatting sqref="P84">
    <cfRule type="cellIs" dxfId="7043" priority="1975" stopIfTrue="1" operator="equal">
      <formula>"INPUT STARTER IN COLUMN D"</formula>
    </cfRule>
  </conditionalFormatting>
  <conditionalFormatting sqref="P85">
    <cfRule type="cellIs" dxfId="7042" priority="1974" stopIfTrue="1" operator="equal">
      <formula>"INPUT STARTER IN COLUMN D"</formula>
    </cfRule>
  </conditionalFormatting>
  <conditionalFormatting sqref="P86">
    <cfRule type="cellIs" dxfId="7041" priority="1973" stopIfTrue="1" operator="equal">
      <formula>"INPUT STARTER IN COLUMN D"</formula>
    </cfRule>
  </conditionalFormatting>
  <conditionalFormatting sqref="P87">
    <cfRule type="cellIs" dxfId="7040" priority="1972" stopIfTrue="1" operator="equal">
      <formula>"INPUT STARTER IN COLUMN D"</formula>
    </cfRule>
  </conditionalFormatting>
  <conditionalFormatting sqref="P88">
    <cfRule type="cellIs" dxfId="7039" priority="1971" stopIfTrue="1" operator="equal">
      <formula>"INPUT STARTER IN COLUMN D"</formula>
    </cfRule>
  </conditionalFormatting>
  <conditionalFormatting sqref="P89">
    <cfRule type="cellIs" dxfId="7038" priority="1970" stopIfTrue="1" operator="equal">
      <formula>"INPUT STARTER IN COLUMN D"</formula>
    </cfRule>
  </conditionalFormatting>
  <conditionalFormatting sqref="P91">
    <cfRule type="cellIs" dxfId="7037" priority="1969" stopIfTrue="1" operator="equal">
      <formula>"INPUT STARTER IN COLUMN D"</formula>
    </cfRule>
  </conditionalFormatting>
  <conditionalFormatting sqref="P92">
    <cfRule type="cellIs" dxfId="7036" priority="1968" stopIfTrue="1" operator="equal">
      <formula>"INPUT STARTER IN COLUMN D"</formula>
    </cfRule>
  </conditionalFormatting>
  <conditionalFormatting sqref="P93">
    <cfRule type="cellIs" dxfId="7035" priority="1967" stopIfTrue="1" operator="equal">
      <formula>"INPUT STARTER IN COLUMN D"</formula>
    </cfRule>
  </conditionalFormatting>
  <conditionalFormatting sqref="P94">
    <cfRule type="cellIs" dxfId="7034" priority="1966" stopIfTrue="1" operator="equal">
      <formula>"INPUT STARTER IN COLUMN D"</formula>
    </cfRule>
  </conditionalFormatting>
  <conditionalFormatting sqref="P95">
    <cfRule type="cellIs" dxfId="7033" priority="1965" stopIfTrue="1" operator="equal">
      <formula>"INPUT STARTER IN COLUMN D"</formula>
    </cfRule>
  </conditionalFormatting>
  <conditionalFormatting sqref="P96">
    <cfRule type="cellIs" dxfId="7032" priority="1964" stopIfTrue="1" operator="equal">
      <formula>"INPUT STARTER IN COLUMN D"</formula>
    </cfRule>
  </conditionalFormatting>
  <conditionalFormatting sqref="P97">
    <cfRule type="cellIs" dxfId="7031" priority="1963" stopIfTrue="1" operator="equal">
      <formula>"INPUT STARTER IN COLUMN D"</formula>
    </cfRule>
  </conditionalFormatting>
  <conditionalFormatting sqref="P98">
    <cfRule type="cellIs" dxfId="7030" priority="1962" stopIfTrue="1" operator="equal">
      <formula>"INPUT STARTER IN COLUMN D"</formula>
    </cfRule>
  </conditionalFormatting>
  <conditionalFormatting sqref="P99">
    <cfRule type="cellIs" dxfId="7029" priority="1961" stopIfTrue="1" operator="equal">
      <formula>"INPUT STARTER IN COLUMN D"</formula>
    </cfRule>
  </conditionalFormatting>
  <conditionalFormatting sqref="P100">
    <cfRule type="cellIs" dxfId="7028" priority="1960" stopIfTrue="1" operator="equal">
      <formula>"INPUT STARTER IN COLUMN D"</formula>
    </cfRule>
  </conditionalFormatting>
  <conditionalFormatting sqref="P101">
    <cfRule type="cellIs" dxfId="7027" priority="1959" stopIfTrue="1" operator="equal">
      <formula>"INPUT STARTER IN COLUMN D"</formula>
    </cfRule>
  </conditionalFormatting>
  <conditionalFormatting sqref="P102">
    <cfRule type="cellIs" dxfId="7026" priority="1958" stopIfTrue="1" operator="equal">
      <formula>"INPUT STARTER IN COLUMN D"</formula>
    </cfRule>
  </conditionalFormatting>
  <conditionalFormatting sqref="P106">
    <cfRule type="cellIs" dxfId="7025" priority="1957" stopIfTrue="1" operator="equal">
      <formula>"INPUT STARTER IN COLUMN D"</formula>
    </cfRule>
  </conditionalFormatting>
  <conditionalFormatting sqref="P107">
    <cfRule type="cellIs" dxfId="7024" priority="1956" stopIfTrue="1" operator="equal">
      <formula>"INPUT STARTER IN COLUMN D"</formula>
    </cfRule>
  </conditionalFormatting>
  <conditionalFormatting sqref="P108">
    <cfRule type="cellIs" dxfId="7023" priority="1955" stopIfTrue="1" operator="equal">
      <formula>"INPUT STARTER IN COLUMN D"</formula>
    </cfRule>
  </conditionalFormatting>
  <conditionalFormatting sqref="P109">
    <cfRule type="cellIs" dxfId="7022" priority="1954" stopIfTrue="1" operator="equal">
      <formula>"INPUT STARTER IN COLUMN D"</formula>
    </cfRule>
  </conditionalFormatting>
  <conditionalFormatting sqref="P110">
    <cfRule type="cellIs" dxfId="7021" priority="1953" stopIfTrue="1" operator="equal">
      <formula>"INPUT STARTER IN COLUMN D"</formula>
    </cfRule>
  </conditionalFormatting>
  <conditionalFormatting sqref="P111">
    <cfRule type="cellIs" dxfId="7020" priority="1952" stopIfTrue="1" operator="equal">
      <formula>"INPUT STARTER IN COLUMN D"</formula>
    </cfRule>
  </conditionalFormatting>
  <conditionalFormatting sqref="P112">
    <cfRule type="cellIs" dxfId="7019" priority="1951" stopIfTrue="1" operator="equal">
      <formula>"INPUT STARTER IN COLUMN D"</formula>
    </cfRule>
  </conditionalFormatting>
  <conditionalFormatting sqref="P113">
    <cfRule type="cellIs" dxfId="7018" priority="1950" stopIfTrue="1" operator="equal">
      <formula>"INPUT STARTER IN COLUMN D"</formula>
    </cfRule>
  </conditionalFormatting>
  <conditionalFormatting sqref="P114">
    <cfRule type="cellIs" dxfId="7017" priority="1949" stopIfTrue="1" operator="equal">
      <formula>"INPUT STARTER IN COLUMN D"</formula>
    </cfRule>
  </conditionalFormatting>
  <conditionalFormatting sqref="P115">
    <cfRule type="cellIs" dxfId="7016" priority="1948" stopIfTrue="1" operator="equal">
      <formula>"INPUT STARTER IN COLUMN D"</formula>
    </cfRule>
  </conditionalFormatting>
  <conditionalFormatting sqref="P116">
    <cfRule type="cellIs" dxfId="7015" priority="1947" stopIfTrue="1" operator="equal">
      <formula>"INPUT STARTER IN COLUMN D"</formula>
    </cfRule>
  </conditionalFormatting>
  <conditionalFormatting sqref="P117">
    <cfRule type="cellIs" dxfId="7014" priority="1946" stopIfTrue="1" operator="equal">
      <formula>"INPUT STARTER IN COLUMN D"</formula>
    </cfRule>
  </conditionalFormatting>
  <conditionalFormatting sqref="P118">
    <cfRule type="cellIs" dxfId="7013" priority="1945" stopIfTrue="1" operator="equal">
      <formula>"INPUT STARTER IN COLUMN D"</formula>
    </cfRule>
  </conditionalFormatting>
  <conditionalFormatting sqref="P119">
    <cfRule type="cellIs" dxfId="7012" priority="1944" stopIfTrue="1" operator="equal">
      <formula>"INPUT STARTER IN COLUMN D"</formula>
    </cfRule>
  </conditionalFormatting>
  <conditionalFormatting sqref="P120">
    <cfRule type="cellIs" dxfId="7011" priority="1943" stopIfTrue="1" operator="equal">
      <formula>"INPUT STARTER IN COLUMN D"</formula>
    </cfRule>
  </conditionalFormatting>
  <conditionalFormatting sqref="P121">
    <cfRule type="cellIs" dxfId="7010" priority="1942" stopIfTrue="1" operator="equal">
      <formula>"INPUT STARTER IN COLUMN D"</formula>
    </cfRule>
  </conditionalFormatting>
  <conditionalFormatting sqref="P122">
    <cfRule type="cellIs" dxfId="7009" priority="1941" stopIfTrue="1" operator="equal">
      <formula>"INPUT STARTER IN COLUMN D"</formula>
    </cfRule>
  </conditionalFormatting>
  <conditionalFormatting sqref="P123">
    <cfRule type="cellIs" dxfId="7008" priority="1940" stopIfTrue="1" operator="equal">
      <formula>"INPUT STARTER IN COLUMN D"</formula>
    </cfRule>
  </conditionalFormatting>
  <conditionalFormatting sqref="P125">
    <cfRule type="cellIs" dxfId="7007" priority="1939" stopIfTrue="1" operator="equal">
      <formula>"INPUT STARTER IN COLUMN D"</formula>
    </cfRule>
  </conditionalFormatting>
  <conditionalFormatting sqref="P126">
    <cfRule type="cellIs" dxfId="7006" priority="1938" stopIfTrue="1" operator="equal">
      <formula>"INPUT STARTER IN COLUMN D"</formula>
    </cfRule>
  </conditionalFormatting>
  <conditionalFormatting sqref="P127">
    <cfRule type="cellIs" dxfId="7005" priority="1937" stopIfTrue="1" operator="equal">
      <formula>"INPUT STARTER IN COLUMN D"</formula>
    </cfRule>
  </conditionalFormatting>
  <conditionalFormatting sqref="P128">
    <cfRule type="cellIs" dxfId="7004" priority="1936" stopIfTrue="1" operator="equal">
      <formula>"INPUT STARTER IN COLUMN D"</formula>
    </cfRule>
  </conditionalFormatting>
  <conditionalFormatting sqref="P129">
    <cfRule type="cellIs" dxfId="7003" priority="1935" stopIfTrue="1" operator="equal">
      <formula>"INPUT STARTER IN COLUMN D"</formula>
    </cfRule>
  </conditionalFormatting>
  <conditionalFormatting sqref="P130">
    <cfRule type="cellIs" dxfId="7002" priority="1934" stopIfTrue="1" operator="equal">
      <formula>"INPUT STARTER IN COLUMN D"</formula>
    </cfRule>
  </conditionalFormatting>
  <conditionalFormatting sqref="P131">
    <cfRule type="cellIs" dxfId="7001" priority="1933" stopIfTrue="1" operator="equal">
      <formula>"INPUT STARTER IN COLUMN D"</formula>
    </cfRule>
  </conditionalFormatting>
  <conditionalFormatting sqref="P132">
    <cfRule type="cellIs" dxfId="7000" priority="1932" stopIfTrue="1" operator="equal">
      <formula>"INPUT STARTER IN COLUMN D"</formula>
    </cfRule>
  </conditionalFormatting>
  <conditionalFormatting sqref="P133">
    <cfRule type="cellIs" dxfId="6999" priority="1931" stopIfTrue="1" operator="equal">
      <formula>"INPUT STARTER IN COLUMN D"</formula>
    </cfRule>
  </conditionalFormatting>
  <conditionalFormatting sqref="P134">
    <cfRule type="cellIs" dxfId="6998" priority="1930" stopIfTrue="1" operator="equal">
      <formula>"INPUT STARTER IN COLUMN D"</formula>
    </cfRule>
  </conditionalFormatting>
  <conditionalFormatting sqref="P135">
    <cfRule type="cellIs" dxfId="6997" priority="1929" stopIfTrue="1" operator="equal">
      <formula>"INPUT STARTER IN COLUMN D"</formula>
    </cfRule>
  </conditionalFormatting>
  <conditionalFormatting sqref="P136">
    <cfRule type="cellIs" dxfId="6996" priority="1928" stopIfTrue="1" operator="equal">
      <formula>"INPUT STARTER IN COLUMN D"</formula>
    </cfRule>
  </conditionalFormatting>
  <conditionalFormatting sqref="P137">
    <cfRule type="cellIs" dxfId="6995" priority="1927" stopIfTrue="1" operator="equal">
      <formula>"INPUT STARTER IN COLUMN D"</formula>
    </cfRule>
  </conditionalFormatting>
  <conditionalFormatting sqref="P139">
    <cfRule type="cellIs" dxfId="6994" priority="1926" stopIfTrue="1" operator="equal">
      <formula>"INPUT STARTER IN COLUMN D"</formula>
    </cfRule>
  </conditionalFormatting>
  <conditionalFormatting sqref="P140">
    <cfRule type="cellIs" dxfId="6993" priority="1925" stopIfTrue="1" operator="equal">
      <formula>"INPUT STARTER IN COLUMN D"</formula>
    </cfRule>
  </conditionalFormatting>
  <conditionalFormatting sqref="P141">
    <cfRule type="cellIs" dxfId="6992" priority="1924" stopIfTrue="1" operator="equal">
      <formula>"INPUT STARTER IN COLUMN D"</formula>
    </cfRule>
  </conditionalFormatting>
  <conditionalFormatting sqref="P142">
    <cfRule type="cellIs" dxfId="6991" priority="1923" stopIfTrue="1" operator="equal">
      <formula>"INPUT STARTER IN COLUMN D"</formula>
    </cfRule>
  </conditionalFormatting>
  <conditionalFormatting sqref="P143">
    <cfRule type="cellIs" dxfId="6990" priority="1922" stopIfTrue="1" operator="equal">
      <formula>"INPUT STARTER IN COLUMN D"</formula>
    </cfRule>
  </conditionalFormatting>
  <conditionalFormatting sqref="P144">
    <cfRule type="cellIs" dxfId="6989" priority="1921" stopIfTrue="1" operator="equal">
      <formula>"INPUT STARTER IN COLUMN D"</formula>
    </cfRule>
  </conditionalFormatting>
  <conditionalFormatting sqref="P145">
    <cfRule type="cellIs" dxfId="6988" priority="1920" stopIfTrue="1" operator="equal">
      <formula>"INPUT STARTER IN COLUMN D"</formula>
    </cfRule>
  </conditionalFormatting>
  <conditionalFormatting sqref="P146">
    <cfRule type="cellIs" dxfId="6987" priority="1919" stopIfTrue="1" operator="equal">
      <formula>"INPUT STARTER IN COLUMN D"</formula>
    </cfRule>
  </conditionalFormatting>
  <conditionalFormatting sqref="P147">
    <cfRule type="cellIs" dxfId="6986" priority="1918" stopIfTrue="1" operator="equal">
      <formula>"INPUT STARTER IN COLUMN D"</formula>
    </cfRule>
  </conditionalFormatting>
  <conditionalFormatting sqref="P148">
    <cfRule type="cellIs" dxfId="6985" priority="1917" stopIfTrue="1" operator="equal">
      <formula>"INPUT STARTER IN COLUMN D"</formula>
    </cfRule>
  </conditionalFormatting>
  <conditionalFormatting sqref="P149">
    <cfRule type="cellIs" dxfId="6984" priority="1916" stopIfTrue="1" operator="equal">
      <formula>"INPUT STARTER IN COLUMN D"</formula>
    </cfRule>
  </conditionalFormatting>
  <conditionalFormatting sqref="P150">
    <cfRule type="cellIs" dxfId="6983" priority="1915" stopIfTrue="1" operator="equal">
      <formula>"INPUT STARTER IN COLUMN D"</formula>
    </cfRule>
  </conditionalFormatting>
  <conditionalFormatting sqref="P151">
    <cfRule type="cellIs" dxfId="6982" priority="1914" stopIfTrue="1" operator="equal">
      <formula>"INPUT STARTER IN COLUMN D"</formula>
    </cfRule>
  </conditionalFormatting>
  <conditionalFormatting sqref="P152">
    <cfRule type="cellIs" dxfId="6981" priority="1913" stopIfTrue="1" operator="equal">
      <formula>"INPUT STARTER IN COLUMN D"</formula>
    </cfRule>
  </conditionalFormatting>
  <conditionalFormatting sqref="P153">
    <cfRule type="cellIs" dxfId="6980" priority="1912" stopIfTrue="1" operator="equal">
      <formula>"INPUT STARTER IN COLUMN D"</formula>
    </cfRule>
  </conditionalFormatting>
  <conditionalFormatting sqref="P154">
    <cfRule type="cellIs" dxfId="6979" priority="1911" stopIfTrue="1" operator="equal">
      <formula>"INPUT STARTER IN COLUMN D"</formula>
    </cfRule>
  </conditionalFormatting>
  <conditionalFormatting sqref="P155">
    <cfRule type="cellIs" dxfId="6978" priority="1910" stopIfTrue="1" operator="equal">
      <formula>"INPUT STARTER IN COLUMN D"</formula>
    </cfRule>
  </conditionalFormatting>
  <conditionalFormatting sqref="P157">
    <cfRule type="cellIs" dxfId="6977" priority="1909" stopIfTrue="1" operator="equal">
      <formula>"INPUT STARTER IN COLUMN D"</formula>
    </cfRule>
  </conditionalFormatting>
  <conditionalFormatting sqref="P158">
    <cfRule type="cellIs" dxfId="6976" priority="1908" stopIfTrue="1" operator="equal">
      <formula>"INPUT STARTER IN COLUMN D"</formula>
    </cfRule>
  </conditionalFormatting>
  <conditionalFormatting sqref="P159">
    <cfRule type="cellIs" dxfId="6975" priority="1907" stopIfTrue="1" operator="equal">
      <formula>"INPUT STARTER IN COLUMN D"</formula>
    </cfRule>
  </conditionalFormatting>
  <conditionalFormatting sqref="P160">
    <cfRule type="cellIs" dxfId="6974" priority="1906" stopIfTrue="1" operator="equal">
      <formula>"INPUT STARTER IN COLUMN D"</formula>
    </cfRule>
  </conditionalFormatting>
  <conditionalFormatting sqref="P161">
    <cfRule type="cellIs" dxfId="6973" priority="1905" stopIfTrue="1" operator="equal">
      <formula>"INPUT STARTER IN COLUMN D"</formula>
    </cfRule>
  </conditionalFormatting>
  <conditionalFormatting sqref="P162">
    <cfRule type="cellIs" dxfId="6972" priority="1904" stopIfTrue="1" operator="equal">
      <formula>"INPUT STARTER IN COLUMN D"</formula>
    </cfRule>
  </conditionalFormatting>
  <conditionalFormatting sqref="P163">
    <cfRule type="cellIs" dxfId="6971" priority="1903" stopIfTrue="1" operator="equal">
      <formula>"INPUT STARTER IN COLUMN D"</formula>
    </cfRule>
  </conditionalFormatting>
  <conditionalFormatting sqref="P165">
    <cfRule type="cellIs" dxfId="6970" priority="1902" stopIfTrue="1" operator="equal">
      <formula>"INPUT STARTER IN COLUMN D"</formula>
    </cfRule>
  </conditionalFormatting>
  <conditionalFormatting sqref="P166">
    <cfRule type="cellIs" dxfId="6969" priority="1901" stopIfTrue="1" operator="equal">
      <formula>"INPUT STARTER IN COLUMN D"</formula>
    </cfRule>
  </conditionalFormatting>
  <conditionalFormatting sqref="P167">
    <cfRule type="cellIs" dxfId="6968" priority="1900" stopIfTrue="1" operator="equal">
      <formula>"INPUT STARTER IN COLUMN D"</formula>
    </cfRule>
  </conditionalFormatting>
  <conditionalFormatting sqref="P168">
    <cfRule type="cellIs" dxfId="6967" priority="1899" stopIfTrue="1" operator="equal">
      <formula>"INPUT STARTER IN COLUMN D"</formula>
    </cfRule>
  </conditionalFormatting>
  <conditionalFormatting sqref="P169">
    <cfRule type="cellIs" dxfId="6966" priority="1898" stopIfTrue="1" operator="equal">
      <formula>"INPUT STARTER IN COLUMN D"</formula>
    </cfRule>
  </conditionalFormatting>
  <conditionalFormatting sqref="P170">
    <cfRule type="cellIs" dxfId="6965" priority="1897" stopIfTrue="1" operator="equal">
      <formula>"INPUT STARTER IN COLUMN D"</formula>
    </cfRule>
  </conditionalFormatting>
  <conditionalFormatting sqref="P171">
    <cfRule type="cellIs" dxfId="6964" priority="1896" stopIfTrue="1" operator="equal">
      <formula>"INPUT STARTER IN COLUMN D"</formula>
    </cfRule>
  </conditionalFormatting>
  <conditionalFormatting sqref="P172">
    <cfRule type="cellIs" dxfId="6963" priority="1895" stopIfTrue="1" operator="equal">
      <formula>"INPUT STARTER IN COLUMN D"</formula>
    </cfRule>
  </conditionalFormatting>
  <conditionalFormatting sqref="P173">
    <cfRule type="cellIs" dxfId="6962" priority="1894" stopIfTrue="1" operator="equal">
      <formula>"INPUT STARTER IN COLUMN D"</formula>
    </cfRule>
  </conditionalFormatting>
  <conditionalFormatting sqref="P174">
    <cfRule type="cellIs" dxfId="6961" priority="1893" stopIfTrue="1" operator="equal">
      <formula>"INPUT STARTER IN COLUMN D"</formula>
    </cfRule>
  </conditionalFormatting>
  <conditionalFormatting sqref="P176">
    <cfRule type="cellIs" dxfId="6960" priority="1892" stopIfTrue="1" operator="equal">
      <formula>"INPUT STARTER IN COLUMN D"</formula>
    </cfRule>
  </conditionalFormatting>
  <conditionalFormatting sqref="P177">
    <cfRule type="cellIs" dxfId="6959" priority="1891" stopIfTrue="1" operator="equal">
      <formula>"INPUT STARTER IN COLUMN D"</formula>
    </cfRule>
  </conditionalFormatting>
  <conditionalFormatting sqref="P178">
    <cfRule type="cellIs" dxfId="6958" priority="1890" stopIfTrue="1" operator="equal">
      <formula>"INPUT STARTER IN COLUMN D"</formula>
    </cfRule>
  </conditionalFormatting>
  <conditionalFormatting sqref="P179">
    <cfRule type="cellIs" dxfId="6957" priority="1889" stopIfTrue="1" operator="equal">
      <formula>"INPUT STARTER IN COLUMN D"</formula>
    </cfRule>
  </conditionalFormatting>
  <conditionalFormatting sqref="P180">
    <cfRule type="cellIs" dxfId="6956" priority="1888" stopIfTrue="1" operator="equal">
      <formula>"INPUT STARTER IN COLUMN D"</formula>
    </cfRule>
  </conditionalFormatting>
  <conditionalFormatting sqref="P181">
    <cfRule type="cellIs" dxfId="6955" priority="1887" stopIfTrue="1" operator="equal">
      <formula>"INPUT STARTER IN COLUMN D"</formula>
    </cfRule>
  </conditionalFormatting>
  <conditionalFormatting sqref="P182">
    <cfRule type="cellIs" dxfId="6954" priority="1886" stopIfTrue="1" operator="equal">
      <formula>"INPUT STARTER IN COLUMN D"</formula>
    </cfRule>
  </conditionalFormatting>
  <conditionalFormatting sqref="P183">
    <cfRule type="cellIs" dxfId="6953" priority="1885" stopIfTrue="1" operator="equal">
      <formula>"INPUT STARTER IN COLUMN D"</formula>
    </cfRule>
  </conditionalFormatting>
  <conditionalFormatting sqref="P184">
    <cfRule type="cellIs" dxfId="6952" priority="1884" stopIfTrue="1" operator="equal">
      <formula>"INPUT STARTER IN COLUMN D"</formula>
    </cfRule>
  </conditionalFormatting>
  <conditionalFormatting sqref="P185">
    <cfRule type="cellIs" dxfId="6951" priority="1883" stopIfTrue="1" operator="equal">
      <formula>"INPUT STARTER IN COLUMN D"</formula>
    </cfRule>
  </conditionalFormatting>
  <conditionalFormatting sqref="AK3:AK22">
    <cfRule type="cellIs" dxfId="6950" priority="1882" stopIfTrue="1" operator="equal">
      <formula>"must average at least 5 innings per start"</formula>
    </cfRule>
  </conditionalFormatting>
  <conditionalFormatting sqref="AK23">
    <cfRule type="cellIs" dxfId="6949" priority="1881" stopIfTrue="1" operator="equal">
      <formula>"must have 162 starts"</formula>
    </cfRule>
  </conditionalFormatting>
  <conditionalFormatting sqref="AG3:AG22">
    <cfRule type="cellIs" dxfId="6948" priority="1880" stopIfTrue="1" operator="equal">
      <formula>"must average at least 5 innings per start"</formula>
    </cfRule>
  </conditionalFormatting>
  <conditionalFormatting sqref="AG23">
    <cfRule type="cellIs" dxfId="6947" priority="1879" stopIfTrue="1" operator="equal">
      <formula>"must have 162 starts"</formula>
    </cfRule>
  </conditionalFormatting>
  <conditionalFormatting sqref="Q2">
    <cfRule type="cellIs" dxfId="6946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 gridLinesSet="0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6884" divId="ROTcheck_6884" sourceType="sheet" destinationFile="C:\1kading\schedule\skedocs.html"/>
    <webPublishItem id="6564" divId="ROTcheck_6564" sourceType="range" sourceRef="A1:O193" destinationFile="C:\1kading\schedule\rostban.html"/>
    <webPublishItem id="28133" divId="ROTcheck_28133" sourceType="range" sourceRef="A156:O185" destinationFile="C:\1kading\schedule\skedocs.html"/>
  </webPublishItems>
</worksheet>
</file>

<file path=xl/worksheets/sheet8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/>
  </sheetViews>
  <sheetFormatPr defaultRowHeight="11.25"/>
  <cols>
    <col min="1" max="1" width="6.5703125" style="6" customWidth="1"/>
    <col min="2" max="2" width="3.7109375" style="6" customWidth="1"/>
    <col min="3" max="3" width="5.85546875" style="6" customWidth="1"/>
    <col min="4" max="4" width="26.5703125" style="1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5" customWidth="1"/>
    <col min="18" max="18" width="5.140625" style="10" customWidth="1"/>
    <col min="19" max="19" width="20.140625" style="2" customWidth="1"/>
    <col min="20" max="20" width="6.5703125" style="2" customWidth="1"/>
    <col min="21" max="21" width="3.7109375" style="2" customWidth="1"/>
    <col min="22" max="22" width="4" style="2" customWidth="1"/>
    <col min="23" max="23" width="5.28515625" style="2" customWidth="1"/>
    <col min="24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8.570312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8" t="s">
        <v>1191</v>
      </c>
      <c r="AJ1" s="42" t="str">
        <f ca="1">IF(AJ187=162,"GOOD","BAD")</f>
        <v>GOOD</v>
      </c>
    </row>
    <row r="2" spans="1:36" ht="30.75" customHeight="1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>
      <c r="A3" s="6">
        <v>4.01</v>
      </c>
      <c r="B3" s="33"/>
      <c r="C3" s="33" t="s">
        <v>43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934</v>
      </c>
      <c r="T3" s="46" t="str">
        <f>IF(ISERROR((VLOOKUP(S3,Pitchers!$B$1:H$800,4,FALSE))),"",(VLOOKUP(S3,Pitchers!$B$1:H$800,4,FALSE)))</f>
        <v>BOS</v>
      </c>
      <c r="U3" s="45" t="str">
        <f>IF(ISERROR((VLOOKUP(S3,Pitchers!B$2:AA$795,10,FALSE))),"",(VLOOKUP(S3,Pitchers!B$2:AA$795,10,FALSE)))</f>
        <v>L</v>
      </c>
      <c r="V3" s="41"/>
      <c r="W3" s="46">
        <f>IF(ISERROR((VLOOKUP(S3,Pitchers!B$2:AA$795,13,FALSE))),"",(VLOOKUP(S3,Pitchers!B$2:AA$795,13,FALSE)))</f>
        <v>16</v>
      </c>
      <c r="X3" s="47">
        <f>IF(ISERROR((VLOOKUP(S3,Pitchers!B$2:AA$795,11,FALSE))),"",(VLOOKUP(S3,Pitchers!B$2:AA$795,11,FALSE)))</f>
        <v>29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XY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FAT</v>
      </c>
    </row>
    <row r="4" spans="1:36" ht="12.75">
      <c r="A4" s="6">
        <v>4.0199999999999996</v>
      </c>
      <c r="B4" s="33"/>
      <c r="C4" s="33" t="s">
        <v>43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1721</v>
      </c>
      <c r="T4" s="46" t="str">
        <f>IF(ISERROR((VLOOKUP(S4,Pitchers!$B$1:H$800,4,FALSE))),"",(VLOOKUP(S4,Pitchers!$B$1:H$800,4,FALSE)))</f>
        <v>NYM</v>
      </c>
      <c r="U4" s="45" t="str">
        <f>IF(ISERROR((VLOOKUP(S4,Pitchers!B$2:AA$795,10,FALSE))),"",(VLOOKUP(S4,Pitchers!B$2:AA$795,10,FALSE)))</f>
        <v>L</v>
      </c>
      <c r="V4" s="41"/>
      <c r="W4" s="46">
        <f>IF(ISERROR((VLOOKUP(S4,Pitchers!B$2:AA$795,13,FALSE))),"",(VLOOKUP(S4,Pitchers!B$2:AA$795,13,FALSE)))</f>
        <v>13</v>
      </c>
      <c r="X4" s="47">
        <f>IF(ISERROR((VLOOKUP(S4,Pitchers!B$2:AA$795,11,FALSE))),"",(VLOOKUP(S4,Pitchers!B$2:AA$795,11,FALSE)))</f>
        <v>36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Y</v>
      </c>
      <c r="AC4" s="52" t="str">
        <f>IF(ISERROR((VLOOKUP(S4,Pitchers!B$2:AA$795,17,FALSE))),"",(VLOOKUP(S4,Pitchers!B$2:AA$795,17,FALSE)))</f>
        <v xml:space="preserve"> 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FAT</v>
      </c>
    </row>
    <row r="5" spans="1:36" ht="12.75">
      <c r="A5" s="6">
        <v>4.03</v>
      </c>
      <c r="B5" s="33"/>
      <c r="C5" s="33" t="s">
        <v>43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569</v>
      </c>
      <c r="T5" s="46" t="str">
        <f>IF(ISERROR((VLOOKUP(S5,Pitchers!$B$1:H$800,4,FALSE))),"",(VLOOKUP(S5,Pitchers!$B$1:H$800,4,FALSE)))</f>
        <v>OAK</v>
      </c>
      <c r="U5" s="45" t="str">
        <f>IF(ISERROR((VLOOKUP(S5,Pitchers!B$2:AA$795,10,FALSE))),"",(VLOOKUP(S5,Pitchers!B$2:AA$795,10,FALSE)))</f>
        <v>L</v>
      </c>
      <c r="V5" s="41"/>
      <c r="W5" s="46">
        <f>IF(ISERROR((VLOOKUP(S5,Pitchers!B$2:AA$795,13,FALSE))),"",(VLOOKUP(S5,Pitchers!B$2:AA$795,13,FALSE)))</f>
        <v>9</v>
      </c>
      <c r="X5" s="47">
        <f>IF(ISERROR((VLOOKUP(S5,Pitchers!B$2:AA$795,11,FALSE))),"",(VLOOKUP(S5,Pitchers!B$2:AA$795,11,FALSE)))</f>
        <v>45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>X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 xml:space="preserve"> 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FAT</v>
      </c>
    </row>
    <row r="6" spans="1:36" ht="12.75">
      <c r="A6" s="6">
        <v>4.04</v>
      </c>
      <c r="B6" s="33"/>
      <c r="C6" s="33" t="s">
        <v>43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1360</v>
      </c>
      <c r="T6" s="46" t="str">
        <f>IF(ISERROR((VLOOKUP(S6,Pitchers!$B$1:H$800,4,FALSE))),"",(VLOOKUP(S6,Pitchers!$B$1:H$800,4,FALSE)))</f>
        <v>SFG</v>
      </c>
      <c r="U6" s="45" t="str">
        <f>IF(ISERROR((VLOOKUP(S6,Pitchers!B$2:AA$795,10,FALSE))),"",(VLOOKUP(S6,Pitchers!B$2:AA$795,10,FALSE)))</f>
        <v>R</v>
      </c>
      <c r="V6" s="41"/>
      <c r="W6" s="46">
        <f>IF(ISERROR((VLOOKUP(S6,Pitchers!B$2:AA$795,13,FALSE))),"",(VLOOKUP(S6,Pitchers!B$2:AA$795,13,FALSE)))</f>
        <v>7</v>
      </c>
      <c r="X6" s="47">
        <f>IF(ISERROR((VLOOKUP(S6,Pitchers!B$2:AA$795,11,FALSE))),"",(VLOOKUP(S6,Pitchers!B$2:AA$795,11,FALSE)))</f>
        <v>178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>Y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FAT</v>
      </c>
    </row>
    <row r="7" spans="1:36" ht="12.75">
      <c r="A7" s="6">
        <v>4.05</v>
      </c>
      <c r="B7" s="33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S7" s="78" t="s">
        <v>1802</v>
      </c>
      <c r="T7" s="46" t="str">
        <f>IF(ISERROR((VLOOKUP(S7,Pitchers!$B$1:H$800,4,FALSE))),"",(VLOOKUP(S7,Pitchers!$B$1:H$800,4,FALSE)))</f>
        <v>ATL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7</v>
      </c>
      <c r="X7" s="47">
        <f>IF(ISERROR((VLOOKUP(S7,Pitchers!B$2:AA$795,11,FALSE))),"",(VLOOKUP(S7,Pitchers!B$2:AA$795,11,FALSE)))</f>
        <v>114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>W</v>
      </c>
      <c r="AD7" s="53" t="str">
        <f>IF(ISERROR((VLOOKUP(S7,Pitchers!B$2:AA$795,18,FALSE))),"",(VLOOKUP(S7,Pitchers!B$2:AA$795,18,FALSE)))</f>
        <v xml:space="preserve"> 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55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405</v>
      </c>
      <c r="T8" s="46" t="str">
        <f>IF(ISERROR((VLOOKUP(S8,Pitchers!$B$1:H$800,4,FALSE))),"",(VLOOKUP(S8,Pitchers!$B$1:H$800,4,FALSE)))</f>
        <v>MIN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5</v>
      </c>
      <c r="X8" s="47">
        <f>IF(ISERROR((VLOOKUP(S8,Pitchers!B$2:AA$795,11,FALSE))),"",(VLOOKUP(S8,Pitchers!B$2:AA$795,11,FALSE)))</f>
        <v>153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Z</v>
      </c>
      <c r="AD8" s="53" t="str">
        <f>IF(ISERROR((VLOOKUP(S8,Pitchers!B$2:AA$795,18,FALSE))),"",(VLOOKUP(S8,Pitchers!B$2:AA$795,18,FALSE)))</f>
        <v>L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FAT</v>
      </c>
    </row>
    <row r="9" spans="1:36" ht="12.75">
      <c r="A9" s="6">
        <v>4.07</v>
      </c>
      <c r="B9" s="33"/>
      <c r="C9" s="33" t="s">
        <v>55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1702</v>
      </c>
      <c r="T9" s="46" t="str">
        <f>IF(ISERROR((VLOOKUP(S9,Pitchers!$B$1:H$800,4,FALSE))),"",(VLOOKUP(S9,Pitchers!$B$1:H$800,4,FALSE)))</f>
        <v>CIN</v>
      </c>
      <c r="U9" s="45" t="str">
        <f>IF(ISERROR((VLOOKUP(S9,Pitchers!B$2:AA$795,10,FALSE))),"",(VLOOKUP(S9,Pitchers!B$2:AA$795,10,FALSE)))</f>
        <v>R</v>
      </c>
      <c r="V9" s="41"/>
      <c r="W9" s="46">
        <f>IF(ISERROR((VLOOKUP(S9,Pitchers!B$2:AA$795,13,FALSE))),"",(VLOOKUP(S9,Pitchers!B$2:AA$795,13,FALSE)))</f>
        <v>4</v>
      </c>
      <c r="X9" s="47">
        <f>IF(ISERROR((VLOOKUP(S9,Pitchers!B$2:AA$795,11,FALSE))),"",(VLOOKUP(S9,Pitchers!B$2:AA$795,11,FALSE)))</f>
        <v>106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 xml:space="preserve"> </v>
      </c>
      <c r="AC9" s="52" t="str">
        <f>IF(ISERROR((VLOOKUP(S9,Pitchers!B$2:AA$795,17,FALSE))),"",(VLOOKUP(S9,Pitchers!B$2:AA$795,17,FALSE)))</f>
        <v>W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FAT</v>
      </c>
    </row>
    <row r="10" spans="1:36" ht="12.75">
      <c r="A10" s="6">
        <v>4.08</v>
      </c>
      <c r="B10" s="33"/>
      <c r="C10" s="33" t="s">
        <v>55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43" t="s">
        <v>680</v>
      </c>
      <c r="T10" s="46" t="str">
        <f>IF(ISERROR((VLOOKUP(S10,Pitchers!$B$1:H$800,4,FALSE))),"",(VLOOKUP(S10,Pitchers!$B$1:H$800,4,FALSE)))</f>
        <v>LAA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3</v>
      </c>
      <c r="X10" s="47">
        <f>IF(ISERROR((VLOOKUP(S10,Pitchers!B$2:AA$795,11,FALSE))),"",(VLOOKUP(S10,Pitchers!B$2:AA$795,11,FALSE)))</f>
        <v>159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 xml:space="preserve"> </v>
      </c>
      <c r="AC10" s="52" t="str">
        <f>IF(ISERROR((VLOOKUP(S10,Pitchers!B$2:AA$795,17,FALSE))),"",(VLOOKUP(S10,Pitchers!B$2:AA$795,17,FALSE)))</f>
        <v>Z</v>
      </c>
      <c r="AD10" s="53" t="str">
        <f>IF(ISERROR((VLOOKUP(S10,Pitchers!B$2:AA$795,18,FALSE))),"",(VLOOKUP(S10,Pitchers!B$2:AA$795,18,FALSE)))</f>
        <v>L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FAT</v>
      </c>
    </row>
    <row r="11" spans="1:36" ht="12.75">
      <c r="A11" s="6">
        <v>4.09</v>
      </c>
      <c r="B11" s="33"/>
      <c r="C11" s="33" t="s">
        <v>55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43" t="s">
        <v>1291</v>
      </c>
      <c r="T11" s="46" t="str">
        <f>IF(ISERROR((VLOOKUP(S11,Pitchers!$B$1:H$800,4,FALSE))),"",(VLOOKUP(S11,Pitchers!$B$1:H$800,4,FALSE)))</f>
        <v>COL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3</v>
      </c>
      <c r="X11" s="47">
        <f>IF(ISERROR((VLOOKUP(S11,Pitchers!B$2:AA$795,11,FALSE))),"",(VLOOKUP(S11,Pitchers!B$2:AA$795,11,FALSE)))</f>
        <v>16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 xml:space="preserve"> </v>
      </c>
      <c r="AC11" s="52" t="str">
        <f>IF(ISERROR((VLOOKUP(S11,Pitchers!B$2:AA$795,17,FALSE))),"",(VLOOKUP(S11,Pitchers!B$2:AA$795,17,FALSE)))</f>
        <v>Z</v>
      </c>
      <c r="AD11" s="53" t="str">
        <f>IF(ISERROR((VLOOKUP(S11,Pitchers!B$2:AA$795,18,FALSE))),"",(VLOOKUP(S11,Pitchers!B$2:AA$795,18,FALSE)))</f>
        <v xml:space="preserve"> 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FAT</v>
      </c>
    </row>
    <row r="12" spans="1:36" ht="12.75">
      <c r="A12" s="6">
        <v>4.0999999999999996</v>
      </c>
      <c r="B12" s="32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S12" s="43" t="s">
        <v>1408</v>
      </c>
      <c r="T12" s="46" t="str">
        <f>IF(ISERROR((VLOOKUP(S12,Pitchers!$B$1:H$800,4,FALSE))),"",(VLOOKUP(S12,Pitchers!$B$1:H$800,4,FALSE)))</f>
        <v>CHC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1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>Z</v>
      </c>
      <c r="AD12" s="53" t="str">
        <f>IF(ISERROR((VLOOKUP(S12,Pitchers!B$2:AA$795,18,FALSE))),"",(VLOOKUP(S12,Pitchers!B$2:AA$795,18,FALSE)))</f>
        <v xml:space="preserve"> 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15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FAT</v>
      </c>
    </row>
    <row r="14" spans="1:36" ht="12.75">
      <c r="A14" s="6">
        <v>4.12</v>
      </c>
      <c r="B14" s="33"/>
      <c r="C14" s="33" t="s">
        <v>15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FAT</v>
      </c>
    </row>
    <row r="15" spans="1:36" ht="12.75">
      <c r="A15" s="6">
        <v>4.13</v>
      </c>
      <c r="B15" s="33"/>
      <c r="C15" s="33" t="s">
        <v>15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FAT</v>
      </c>
    </row>
    <row r="16" spans="1:36" ht="12.75">
      <c r="A16" s="6">
        <v>4.1399999999999997</v>
      </c>
      <c r="B16" s="33"/>
      <c r="C16" s="33" t="s">
        <v>15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FAT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39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FAT</v>
      </c>
    </row>
    <row r="19" spans="1:36" ht="12.75">
      <c r="A19" s="6">
        <v>4.17</v>
      </c>
      <c r="B19" s="33"/>
      <c r="C19" s="33" t="s">
        <v>39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FAT</v>
      </c>
    </row>
    <row r="20" spans="1:36" ht="12.75">
      <c r="A20" s="6">
        <v>4.18</v>
      </c>
      <c r="B20" s="33"/>
      <c r="C20" s="33" t="s">
        <v>39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FAT</v>
      </c>
    </row>
    <row r="21" spans="1:36" ht="12.75">
      <c r="A21" s="6">
        <v>4.1900000000000004</v>
      </c>
      <c r="B21" s="33"/>
      <c r="C21" s="33" t="s">
        <v>39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FAT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 t="s">
        <v>32</v>
      </c>
      <c r="C23" s="33" t="s">
        <v>52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FAT</v>
      </c>
    </row>
    <row r="24" spans="1:36" ht="12.75">
      <c r="A24" s="6">
        <v>4.22</v>
      </c>
      <c r="B24" s="33" t="s">
        <v>32</v>
      </c>
      <c r="C24" s="33" t="s">
        <v>52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FAT</v>
      </c>
    </row>
    <row r="25" spans="1:36" ht="12.75">
      <c r="A25" s="6">
        <v>4.2300000000000004</v>
      </c>
      <c r="B25" s="33" t="s">
        <v>32</v>
      </c>
      <c r="C25" s="33" t="s">
        <v>52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FAT</v>
      </c>
    </row>
    <row r="26" spans="1:36" ht="12.75">
      <c r="A26" s="6">
        <v>4.24</v>
      </c>
      <c r="B26" s="33" t="s">
        <v>32</v>
      </c>
      <c r="C26" s="33" t="s">
        <v>52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FAT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AJ27" s="33" t="str">
        <f t="shared" ca="1" si="3"/>
        <v/>
      </c>
    </row>
    <row r="28" spans="1:36" ht="12.75">
      <c r="A28" s="6">
        <v>4.26</v>
      </c>
      <c r="B28" s="33" t="s">
        <v>32</v>
      </c>
      <c r="C28" s="33" t="s">
        <v>13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FAT</v>
      </c>
    </row>
    <row r="29" spans="1:36" ht="12.75">
      <c r="A29" s="6">
        <v>4.2699999999999996</v>
      </c>
      <c r="B29" s="33" t="s">
        <v>32</v>
      </c>
      <c r="C29" s="33" t="s">
        <v>13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FAT</v>
      </c>
    </row>
    <row r="30" spans="1:36" ht="12.75">
      <c r="A30" s="6">
        <v>4.28</v>
      </c>
      <c r="B30" s="33" t="s">
        <v>32</v>
      </c>
      <c r="C30" s="33" t="s">
        <v>13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FAT</v>
      </c>
    </row>
    <row r="31" spans="1:36" ht="12.75">
      <c r="A31" s="6">
        <v>4.29</v>
      </c>
      <c r="B31" s="33" t="s">
        <v>32</v>
      </c>
      <c r="C31" s="33" t="s">
        <v>13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FAT</v>
      </c>
    </row>
    <row r="32" spans="1:36" ht="12.75">
      <c r="A32" s="6">
        <v>4.3</v>
      </c>
      <c r="B32" s="33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AJ32" s="33" t="str">
        <f t="shared" ca="1" si="3"/>
        <v/>
      </c>
    </row>
    <row r="33" spans="1:36" ht="12.75">
      <c r="A33" s="6">
        <v>5.01</v>
      </c>
      <c r="B33" s="33"/>
      <c r="C33" s="33" t="s">
        <v>1918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FAT</v>
      </c>
    </row>
    <row r="34" spans="1:36" ht="12.75">
      <c r="A34" s="6">
        <v>5.0199999999999996</v>
      </c>
      <c r="B34" s="33"/>
      <c r="C34" s="33" t="s">
        <v>1918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FAT</v>
      </c>
    </row>
    <row r="35" spans="1:36" ht="12.75">
      <c r="A35" s="6">
        <v>5.03</v>
      </c>
      <c r="B35" s="33"/>
      <c r="C35" s="33" t="s">
        <v>1918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FAT</v>
      </c>
    </row>
    <row r="36" spans="1:36" ht="12.75">
      <c r="A36" s="6">
        <v>5.04</v>
      </c>
      <c r="B36" s="33"/>
      <c r="C36" s="33" t="s">
        <v>1918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FAT</v>
      </c>
    </row>
    <row r="37" spans="1:36" ht="12.75">
      <c r="A37" s="6">
        <v>5.05</v>
      </c>
      <c r="B37" s="32"/>
      <c r="C37" s="33" t="s">
        <v>35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FAT</v>
      </c>
    </row>
    <row r="38" spans="1:36" ht="12.75">
      <c r="A38" s="6">
        <v>5.0599999999999996</v>
      </c>
      <c r="B38" s="32"/>
      <c r="C38" s="33" t="s">
        <v>35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FAT</v>
      </c>
    </row>
    <row r="39" spans="1:36" ht="12.75">
      <c r="A39" s="6">
        <v>5.07</v>
      </c>
      <c r="B39" s="32"/>
      <c r="C39" s="33" t="s">
        <v>35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FAT</v>
      </c>
    </row>
    <row r="40" spans="1:36" ht="12.75">
      <c r="A40" s="6">
        <v>5.08</v>
      </c>
      <c r="B40" s="32"/>
      <c r="C40" s="33" t="s">
        <v>35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FAT</v>
      </c>
    </row>
    <row r="41" spans="1:36" ht="12.75">
      <c r="A41" s="6">
        <v>5.09</v>
      </c>
      <c r="B41" s="33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AJ41" s="33" t="str">
        <f t="shared" ca="1" si="3"/>
        <v/>
      </c>
    </row>
    <row r="42" spans="1:36" ht="12.75">
      <c r="A42" s="6">
        <v>5.0999999999999996</v>
      </c>
      <c r="B42" s="33"/>
      <c r="C42" s="33" t="s">
        <v>54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FAT</v>
      </c>
    </row>
    <row r="43" spans="1:36" ht="12.75">
      <c r="A43" s="6">
        <v>5.1100000000000003</v>
      </c>
      <c r="B43" s="33"/>
      <c r="C43" s="33" t="s">
        <v>54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FAT</v>
      </c>
    </row>
    <row r="44" spans="1:36" ht="12.75">
      <c r="A44" s="6">
        <v>5.12</v>
      </c>
      <c r="B44" s="33"/>
      <c r="C44" s="33" t="s">
        <v>54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FAT</v>
      </c>
    </row>
    <row r="45" spans="1:36" ht="12.75">
      <c r="A45" s="6">
        <v>5.13</v>
      </c>
      <c r="B45" s="33"/>
      <c r="C45" s="33" t="s">
        <v>54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FAT</v>
      </c>
    </row>
    <row r="46" spans="1:36" ht="12.75">
      <c r="A46" s="6">
        <v>5.14</v>
      </c>
      <c r="B46" s="33" t="s">
        <v>32</v>
      </c>
      <c r="C46" s="33" t="s">
        <v>12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FAT</v>
      </c>
    </row>
    <row r="47" spans="1:36" ht="12.75">
      <c r="A47" s="6">
        <v>5.15</v>
      </c>
      <c r="B47" s="33" t="s">
        <v>32</v>
      </c>
      <c r="C47" s="33" t="s">
        <v>12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FAT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12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FAT</v>
      </c>
    </row>
    <row r="50" spans="1:36" ht="12.75">
      <c r="A50" s="6">
        <v>5.18</v>
      </c>
      <c r="B50" s="33" t="s">
        <v>32</v>
      </c>
      <c r="C50" s="33" t="s">
        <v>12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FAT</v>
      </c>
    </row>
    <row r="51" spans="1:36" ht="12.75">
      <c r="A51" s="6">
        <v>5.19</v>
      </c>
      <c r="B51" s="33" t="s">
        <v>32</v>
      </c>
      <c r="C51" s="33" t="s">
        <v>45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FAT</v>
      </c>
    </row>
    <row r="52" spans="1:36" ht="12.75">
      <c r="A52" s="6">
        <v>5.2</v>
      </c>
      <c r="B52" s="33" t="s">
        <v>32</v>
      </c>
      <c r="C52" s="33" t="s">
        <v>45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FAT</v>
      </c>
    </row>
    <row r="53" spans="1:36" ht="12.75">
      <c r="A53" s="6">
        <v>5.21</v>
      </c>
      <c r="B53" s="33" t="s">
        <v>32</v>
      </c>
      <c r="C53" s="33" t="s">
        <v>45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FAT</v>
      </c>
    </row>
    <row r="54" spans="1:36" ht="12.75">
      <c r="A54" s="6">
        <v>5.22</v>
      </c>
      <c r="B54" s="33" t="s">
        <v>32</v>
      </c>
      <c r="C54" s="33" t="s">
        <v>45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FAT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AJ55" s="33" t="str">
        <f t="shared" ca="1" si="3"/>
        <v/>
      </c>
    </row>
    <row r="56" spans="1:36" ht="12.75">
      <c r="A56" s="6">
        <v>5.24</v>
      </c>
      <c r="B56" s="33"/>
      <c r="C56" s="33" t="s">
        <v>49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FAT</v>
      </c>
    </row>
    <row r="57" spans="1:36" ht="12.75">
      <c r="A57" s="6">
        <v>5.25</v>
      </c>
      <c r="B57" s="33"/>
      <c r="C57" s="33" t="s">
        <v>49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FAT</v>
      </c>
    </row>
    <row r="58" spans="1:36" ht="12.75">
      <c r="A58" s="6">
        <v>5.26</v>
      </c>
      <c r="B58" s="33"/>
      <c r="C58" s="33" t="s">
        <v>49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FAT</v>
      </c>
    </row>
    <row r="59" spans="1:36" ht="12.75">
      <c r="A59" s="6">
        <v>5.27</v>
      </c>
      <c r="B59" s="33"/>
      <c r="C59" s="33" t="s">
        <v>49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FAT</v>
      </c>
    </row>
    <row r="60" spans="1:36" ht="12.75">
      <c r="A60" s="6">
        <v>5.28</v>
      </c>
      <c r="B60" s="33"/>
      <c r="C60" s="33" t="s">
        <v>40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FAT</v>
      </c>
    </row>
    <row r="61" spans="1:36" ht="12.75">
      <c r="A61" s="6">
        <v>5.29</v>
      </c>
      <c r="B61" s="33"/>
      <c r="C61" s="33" t="s">
        <v>40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FAT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AJ62" s="33" t="str">
        <f t="shared" ca="1" si="3"/>
        <v/>
      </c>
    </row>
    <row r="63" spans="1:36" ht="12.75">
      <c r="A63" s="6">
        <v>5.31</v>
      </c>
      <c r="B63" s="33"/>
      <c r="C63" s="33" t="s">
        <v>40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FAT</v>
      </c>
    </row>
    <row r="64" spans="1:36" ht="12.75">
      <c r="A64" s="6">
        <v>6.01</v>
      </c>
      <c r="B64" s="33" t="s">
        <v>32</v>
      </c>
      <c r="C64" s="33" t="s">
        <v>16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FAT</v>
      </c>
    </row>
    <row r="65" spans="1:36" ht="12.75">
      <c r="A65" s="6">
        <v>6.02</v>
      </c>
      <c r="B65" s="33" t="s">
        <v>32</v>
      </c>
      <c r="C65" s="33" t="s">
        <v>16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FAT</v>
      </c>
    </row>
    <row r="66" spans="1:36" ht="12.75">
      <c r="A66" s="6">
        <v>6.03</v>
      </c>
      <c r="B66" s="33" t="s">
        <v>32</v>
      </c>
      <c r="C66" s="33" t="s">
        <v>16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FAT</v>
      </c>
    </row>
    <row r="67" spans="1:36" ht="12.75">
      <c r="A67" s="6">
        <v>6.04</v>
      </c>
      <c r="B67" s="33" t="s">
        <v>32</v>
      </c>
      <c r="C67" s="33" t="s">
        <v>16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FAT</v>
      </c>
    </row>
    <row r="68" spans="1:36" ht="12.75">
      <c r="A68" s="6">
        <v>6.05</v>
      </c>
      <c r="B68" s="32" t="s">
        <v>32</v>
      </c>
      <c r="C68" s="33" t="s">
        <v>34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FAT</v>
      </c>
    </row>
    <row r="69" spans="1:36" ht="12.75">
      <c r="A69" s="6">
        <v>6.06</v>
      </c>
      <c r="B69" s="32" t="s">
        <v>32</v>
      </c>
      <c r="C69" s="33" t="s">
        <v>34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FAT</v>
      </c>
    </row>
    <row r="70" spans="1:36" ht="12.75">
      <c r="A70" s="6">
        <v>6.07</v>
      </c>
      <c r="B70" s="32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AJ70" s="33" t="str">
        <f t="shared" ca="1" si="17"/>
        <v/>
      </c>
    </row>
    <row r="71" spans="1:36" ht="12.75">
      <c r="A71" s="6">
        <v>6.08</v>
      </c>
      <c r="B71" s="32" t="s">
        <v>32</v>
      </c>
      <c r="C71" s="33" t="s">
        <v>34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FAT</v>
      </c>
    </row>
    <row r="72" spans="1:36" ht="12.75">
      <c r="A72" s="6">
        <v>6.09</v>
      </c>
      <c r="B72" s="32" t="s">
        <v>32</v>
      </c>
      <c r="C72" s="33" t="s">
        <v>34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FAT</v>
      </c>
    </row>
    <row r="73" spans="1:36" ht="12.75">
      <c r="A73" s="6">
        <v>6.1</v>
      </c>
      <c r="B73" s="32" t="s">
        <v>32</v>
      </c>
      <c r="C73" s="33" t="s">
        <v>51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FAT</v>
      </c>
    </row>
    <row r="74" spans="1:36" ht="12.75">
      <c r="A74" s="6">
        <v>6.11</v>
      </c>
      <c r="B74" s="32" t="s">
        <v>32</v>
      </c>
      <c r="C74" s="33" t="s">
        <v>51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FAT</v>
      </c>
    </row>
    <row r="75" spans="1:36" ht="12.75">
      <c r="A75" s="6">
        <v>6.12</v>
      </c>
      <c r="B75" s="32" t="s">
        <v>32</v>
      </c>
      <c r="C75" s="33" t="s">
        <v>51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FAT</v>
      </c>
    </row>
    <row r="76" spans="1:36" ht="12.75">
      <c r="A76" s="6">
        <v>6.13</v>
      </c>
      <c r="B76" s="32" t="s">
        <v>32</v>
      </c>
      <c r="C76" s="33" t="s">
        <v>51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FAT</v>
      </c>
    </row>
    <row r="77" spans="1:36" ht="12.75">
      <c r="A77" s="6">
        <v>6.14</v>
      </c>
      <c r="B77" s="33"/>
      <c r="C77" s="33" t="s">
        <v>1919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FAT</v>
      </c>
    </row>
    <row r="78" spans="1:36" ht="12.75">
      <c r="A78" s="6">
        <v>6.15</v>
      </c>
      <c r="B78" s="33"/>
      <c r="C78" s="33" t="s">
        <v>1919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FAT</v>
      </c>
    </row>
    <row r="79" spans="1:36" ht="12.75">
      <c r="A79" s="6">
        <v>6.16</v>
      </c>
      <c r="B79" s="33"/>
      <c r="C79" s="33" t="s">
        <v>1919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FAT</v>
      </c>
    </row>
    <row r="80" spans="1:36" ht="12.75">
      <c r="A80" s="6">
        <v>6.17</v>
      </c>
      <c r="B80" s="33"/>
      <c r="C80" s="33" t="s">
        <v>1919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FAT</v>
      </c>
    </row>
    <row r="81" spans="1:36" ht="12.75">
      <c r="A81" s="6">
        <v>6.18</v>
      </c>
      <c r="B81" s="32" t="s">
        <v>32</v>
      </c>
      <c r="C81" s="33" t="s">
        <v>17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FAT</v>
      </c>
    </row>
    <row r="82" spans="1:36" ht="12.75">
      <c r="A82" s="6">
        <v>6.19</v>
      </c>
      <c r="B82" s="32" t="s">
        <v>32</v>
      </c>
      <c r="C82" s="33" t="s">
        <v>17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FAT</v>
      </c>
    </row>
    <row r="83" spans="1:36" ht="12.75">
      <c r="A83" s="6">
        <v>6.2</v>
      </c>
      <c r="B83" s="32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AJ83" s="33" t="str">
        <f t="shared" ca="1" si="17"/>
        <v/>
      </c>
    </row>
    <row r="84" spans="1:36" ht="12.75">
      <c r="A84" s="6">
        <v>6.21</v>
      </c>
      <c r="B84" s="32" t="s">
        <v>32</v>
      </c>
      <c r="C84" s="33" t="s">
        <v>17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FAT</v>
      </c>
    </row>
    <row r="85" spans="1:36" ht="12.75">
      <c r="A85" s="6">
        <v>6.22</v>
      </c>
      <c r="B85" s="32" t="s">
        <v>32</v>
      </c>
      <c r="C85" s="33" t="s">
        <v>17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FAT</v>
      </c>
    </row>
    <row r="86" spans="1:36" ht="12.75">
      <c r="A86" s="6">
        <v>6.23</v>
      </c>
      <c r="B86" s="33"/>
      <c r="C86" s="33" t="s">
        <v>44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FAT</v>
      </c>
    </row>
    <row r="87" spans="1:36" ht="12.75">
      <c r="A87" s="6">
        <v>6.24</v>
      </c>
      <c r="B87" s="33"/>
      <c r="C87" s="33" t="s">
        <v>44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FAT</v>
      </c>
    </row>
    <row r="88" spans="1:36" ht="12.75">
      <c r="A88" s="6">
        <v>6.25</v>
      </c>
      <c r="B88" s="33"/>
      <c r="C88" s="33" t="s">
        <v>44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FAT</v>
      </c>
    </row>
    <row r="89" spans="1:36" ht="12.75">
      <c r="A89" s="6">
        <v>6.26</v>
      </c>
      <c r="B89" s="33"/>
      <c r="C89" s="33" t="s">
        <v>44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FAT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AJ90" s="33" t="str">
        <f t="shared" ca="1" si="17"/>
        <v/>
      </c>
    </row>
    <row r="91" spans="1:36" ht="12.75">
      <c r="A91" s="6">
        <v>6.28</v>
      </c>
      <c r="B91" s="33" t="s">
        <v>32</v>
      </c>
      <c r="C91" s="33" t="s">
        <v>46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FAT</v>
      </c>
    </row>
    <row r="92" spans="1:36" ht="12.75">
      <c r="A92" s="6">
        <v>6.29</v>
      </c>
      <c r="B92" s="33" t="s">
        <v>32</v>
      </c>
      <c r="C92" s="33" t="s">
        <v>46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FAT</v>
      </c>
    </row>
    <row r="93" spans="1:36" ht="12.75">
      <c r="A93" s="6">
        <v>6.3</v>
      </c>
      <c r="B93" s="33" t="s">
        <v>32</v>
      </c>
      <c r="C93" s="33" t="s">
        <v>46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FAT</v>
      </c>
    </row>
    <row r="94" spans="1:36" ht="12.75">
      <c r="A94" s="6">
        <v>7.01</v>
      </c>
      <c r="B94" s="33"/>
      <c r="C94" s="33" t="s">
        <v>1917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FAT</v>
      </c>
    </row>
    <row r="95" spans="1:36" ht="12.75">
      <c r="A95" s="6">
        <v>7.02</v>
      </c>
      <c r="B95" s="33"/>
      <c r="C95" s="33" t="s">
        <v>1917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FAT</v>
      </c>
    </row>
    <row r="96" spans="1:36" ht="12.75">
      <c r="A96" s="6">
        <v>7.03</v>
      </c>
      <c r="B96" s="33"/>
      <c r="C96" s="33" t="s">
        <v>1917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FAT</v>
      </c>
    </row>
    <row r="97" spans="1:36" ht="12.75">
      <c r="A97" s="6">
        <v>7.04</v>
      </c>
      <c r="B97" s="33" t="s">
        <v>32</v>
      </c>
      <c r="C97" s="33" t="s">
        <v>47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FAT</v>
      </c>
    </row>
    <row r="98" spans="1:36" ht="12.75">
      <c r="A98" s="6">
        <v>7.05</v>
      </c>
      <c r="B98" s="33" t="s">
        <v>32</v>
      </c>
      <c r="C98" s="33" t="s">
        <v>47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FAT</v>
      </c>
    </row>
    <row r="99" spans="1:36" ht="12.75">
      <c r="A99" s="6">
        <v>7.06</v>
      </c>
      <c r="B99" s="33" t="s">
        <v>32</v>
      </c>
      <c r="C99" s="33" t="s">
        <v>47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FAT</v>
      </c>
    </row>
    <row r="100" spans="1:36" ht="12.75">
      <c r="A100" s="6">
        <v>7.07</v>
      </c>
      <c r="B100" s="33"/>
      <c r="C100" s="33" t="s">
        <v>41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FAT</v>
      </c>
    </row>
    <row r="101" spans="1:36" ht="12.75">
      <c r="A101" s="6">
        <v>7.08</v>
      </c>
      <c r="B101" s="33"/>
      <c r="C101" s="33" t="s">
        <v>41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FAT</v>
      </c>
    </row>
    <row r="102" spans="1:36" ht="12.75">
      <c r="A102" s="6">
        <v>7.09</v>
      </c>
      <c r="B102" s="33"/>
      <c r="C102" s="33" t="s">
        <v>41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FAT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AJ105" s="33" t="str">
        <f t="shared" ca="1" si="17"/>
        <v/>
      </c>
    </row>
    <row r="106" spans="1:36" ht="12.75">
      <c r="A106" s="6">
        <v>7.13</v>
      </c>
      <c r="B106" s="33" t="s">
        <v>32</v>
      </c>
      <c r="C106" s="33" t="s">
        <v>53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FAT</v>
      </c>
    </row>
    <row r="107" spans="1:36" ht="12.75">
      <c r="A107" s="6">
        <v>7.14</v>
      </c>
      <c r="B107" s="33" t="s">
        <v>32</v>
      </c>
      <c r="C107" s="33" t="s">
        <v>53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FAT</v>
      </c>
    </row>
    <row r="108" spans="1:36" ht="12.75">
      <c r="A108" s="6">
        <v>7.15</v>
      </c>
      <c r="B108" s="33" t="s">
        <v>32</v>
      </c>
      <c r="C108" s="33" t="s">
        <v>53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FAT</v>
      </c>
    </row>
    <row r="109" spans="1:36" ht="12.75">
      <c r="A109" s="6">
        <v>7.16</v>
      </c>
      <c r="B109" s="33" t="s">
        <v>32</v>
      </c>
      <c r="C109" s="33" t="s">
        <v>33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FAT</v>
      </c>
    </row>
    <row r="110" spans="1:36" ht="12.75">
      <c r="A110" s="6">
        <v>7.17</v>
      </c>
      <c r="B110" s="33" t="s">
        <v>32</v>
      </c>
      <c r="C110" s="33" t="s">
        <v>33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FAT</v>
      </c>
    </row>
    <row r="111" spans="1:36" ht="12.75">
      <c r="A111" s="6">
        <v>7.18</v>
      </c>
      <c r="B111" s="33" t="s">
        <v>32</v>
      </c>
      <c r="C111" s="33" t="s">
        <v>33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FAT</v>
      </c>
    </row>
    <row r="112" spans="1:36" ht="12.75">
      <c r="A112" s="6">
        <v>7.19</v>
      </c>
      <c r="B112" s="33" t="s">
        <v>32</v>
      </c>
      <c r="C112" s="33" t="s">
        <v>14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FAT</v>
      </c>
    </row>
    <row r="113" spans="1:36" ht="12.75">
      <c r="A113" s="6">
        <v>7.2</v>
      </c>
      <c r="B113" s="33" t="s">
        <v>32</v>
      </c>
      <c r="C113" s="33" t="s">
        <v>14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FAT</v>
      </c>
    </row>
    <row r="114" spans="1:36" ht="12.75">
      <c r="A114" s="6">
        <v>7.21</v>
      </c>
      <c r="B114" s="33" t="s">
        <v>32</v>
      </c>
      <c r="C114" s="33" t="s">
        <v>14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FAT</v>
      </c>
    </row>
    <row r="115" spans="1:36" ht="12.75">
      <c r="A115" s="6">
        <v>7.22</v>
      </c>
      <c r="B115" s="33" t="s">
        <v>32</v>
      </c>
      <c r="C115" s="33" t="s">
        <v>14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FAT</v>
      </c>
    </row>
    <row r="116" spans="1:36" ht="12.75">
      <c r="A116" s="6">
        <v>7.23</v>
      </c>
      <c r="B116" s="32" t="s">
        <v>32</v>
      </c>
      <c r="C116" s="33" t="s">
        <v>56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FAT</v>
      </c>
    </row>
    <row r="117" spans="1:36" ht="12.75">
      <c r="A117" s="6">
        <v>7.24</v>
      </c>
      <c r="B117" s="32" t="s">
        <v>32</v>
      </c>
      <c r="C117" s="33" t="s">
        <v>56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FAT</v>
      </c>
    </row>
    <row r="118" spans="1:36" ht="12.75">
      <c r="A118" s="6">
        <v>7.25</v>
      </c>
      <c r="B118" s="32" t="s">
        <v>32</v>
      </c>
      <c r="C118" s="33" t="s">
        <v>56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FAT</v>
      </c>
    </row>
    <row r="119" spans="1:36" ht="12.75">
      <c r="A119" s="6">
        <v>7.26</v>
      </c>
      <c r="B119" s="32" t="s">
        <v>32</v>
      </c>
      <c r="C119" s="33" t="s">
        <v>56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FAT</v>
      </c>
    </row>
    <row r="120" spans="1:36" ht="12.75">
      <c r="A120" s="6">
        <v>7.27</v>
      </c>
      <c r="B120" s="33"/>
      <c r="C120" s="33" t="s">
        <v>48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FAT</v>
      </c>
    </row>
    <row r="121" spans="1:36" ht="12.75">
      <c r="A121" s="6">
        <v>7.28</v>
      </c>
      <c r="B121" s="33"/>
      <c r="C121" s="33" t="s">
        <v>48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FAT</v>
      </c>
    </row>
    <row r="122" spans="1:36" ht="12.75">
      <c r="A122" s="6">
        <v>7.29</v>
      </c>
      <c r="B122" s="33"/>
      <c r="C122" s="33" t="s">
        <v>48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FAT</v>
      </c>
    </row>
    <row r="123" spans="1:36" ht="12.75">
      <c r="A123" s="6">
        <v>7.3</v>
      </c>
      <c r="B123" s="33"/>
      <c r="C123" s="33" t="s">
        <v>48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FAT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42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FAT</v>
      </c>
    </row>
    <row r="126" spans="1:36" ht="12.75">
      <c r="A126" s="6">
        <v>8.02</v>
      </c>
      <c r="B126" s="33" t="s">
        <v>32</v>
      </c>
      <c r="C126" s="33" t="s">
        <v>42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FAT</v>
      </c>
    </row>
    <row r="127" spans="1:36" ht="12.75">
      <c r="A127" s="6">
        <v>8.0299999999999994</v>
      </c>
      <c r="B127" s="33" t="s">
        <v>32</v>
      </c>
      <c r="C127" s="33" t="s">
        <v>42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FAT</v>
      </c>
    </row>
    <row r="128" spans="1:36" ht="12.75">
      <c r="A128" s="6">
        <v>8.0399999999999991</v>
      </c>
      <c r="B128" s="33" t="s">
        <v>32</v>
      </c>
      <c r="C128" s="33" t="s">
        <v>42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FAT</v>
      </c>
    </row>
    <row r="129" spans="1:36" ht="12.75">
      <c r="A129" s="6">
        <v>8.0500000000000007</v>
      </c>
      <c r="B129" s="33" t="s">
        <v>32</v>
      </c>
      <c r="C129" s="33" t="s">
        <v>1917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FAT</v>
      </c>
    </row>
    <row r="130" spans="1:36" ht="12.75">
      <c r="A130" s="6">
        <v>8.06</v>
      </c>
      <c r="B130" s="33" t="s">
        <v>32</v>
      </c>
      <c r="C130" s="33" t="s">
        <v>1917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FAT</v>
      </c>
    </row>
    <row r="131" spans="1:36" ht="12.75">
      <c r="A131" s="6">
        <v>8.07</v>
      </c>
      <c r="B131" s="33" t="s">
        <v>32</v>
      </c>
      <c r="C131" s="33" t="s">
        <v>1917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FAT</v>
      </c>
    </row>
    <row r="132" spans="1:36" ht="12.75">
      <c r="A132" s="6">
        <v>8.08</v>
      </c>
      <c r="B132" s="33" t="s">
        <v>32</v>
      </c>
      <c r="C132" s="33" t="s">
        <v>1917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FAT</v>
      </c>
    </row>
    <row r="133" spans="1:36" ht="12.75">
      <c r="A133" s="6">
        <v>8.09</v>
      </c>
      <c r="B133" s="33"/>
      <c r="C133" s="33" t="s">
        <v>33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FAT</v>
      </c>
    </row>
    <row r="134" spans="1:36" ht="12.75">
      <c r="A134" s="6">
        <v>8.1</v>
      </c>
      <c r="B134" s="33"/>
      <c r="C134" s="33" t="s">
        <v>33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FAT</v>
      </c>
    </row>
    <row r="135" spans="1:36" ht="12.75">
      <c r="A135" s="6">
        <v>8.11</v>
      </c>
      <c r="B135" s="33"/>
      <c r="C135" s="33" t="s">
        <v>33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FAT</v>
      </c>
    </row>
    <row r="136" spans="1:36" ht="12.75">
      <c r="A136" s="6">
        <v>8.1199999999999992</v>
      </c>
      <c r="B136" s="33"/>
      <c r="C136" s="33" t="s">
        <v>33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FAT</v>
      </c>
    </row>
    <row r="137" spans="1:36" ht="12.75">
      <c r="A137" s="6">
        <v>8.1300000000000008</v>
      </c>
      <c r="B137" s="33"/>
      <c r="C137" s="33" t="s">
        <v>46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FAT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46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FAT</v>
      </c>
    </row>
    <row r="140" spans="1:36" ht="12.75">
      <c r="A140" s="6">
        <v>8.16</v>
      </c>
      <c r="B140" s="33"/>
      <c r="C140" s="33" t="s">
        <v>46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FAT</v>
      </c>
    </row>
    <row r="141" spans="1:36" ht="12.75">
      <c r="A141" s="6">
        <v>8.17</v>
      </c>
      <c r="B141" s="33"/>
      <c r="C141" s="33" t="s">
        <v>46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FAT</v>
      </c>
    </row>
    <row r="142" spans="1:36" ht="12.75">
      <c r="A142" s="6">
        <v>8.18</v>
      </c>
      <c r="B142" s="33" t="s">
        <v>32</v>
      </c>
      <c r="C142" s="33" t="s">
        <v>1918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FAT</v>
      </c>
    </row>
    <row r="143" spans="1:36" ht="12.75">
      <c r="A143" s="6">
        <v>8.19</v>
      </c>
      <c r="B143" s="33" t="s">
        <v>32</v>
      </c>
      <c r="C143" s="33" t="s">
        <v>1918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FAT</v>
      </c>
    </row>
    <row r="144" spans="1:36" ht="12.75">
      <c r="A144" s="6">
        <v>8.1999999999999993</v>
      </c>
      <c r="B144" s="33" t="s">
        <v>32</v>
      </c>
      <c r="C144" s="33" t="s">
        <v>1918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FAT</v>
      </c>
    </row>
    <row r="145" spans="1:36" ht="12.75">
      <c r="A145" s="6">
        <v>8.2100000000000009</v>
      </c>
      <c r="B145" s="33"/>
      <c r="C145" s="33" t="s">
        <v>53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FAT</v>
      </c>
    </row>
    <row r="146" spans="1:36" ht="12.75">
      <c r="A146" s="6">
        <v>8.2200000000000006</v>
      </c>
      <c r="B146" s="33"/>
      <c r="C146" s="33" t="s">
        <v>53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FAT</v>
      </c>
    </row>
    <row r="147" spans="1:36" ht="12.75">
      <c r="A147" s="6">
        <v>8.23</v>
      </c>
      <c r="B147" s="33"/>
      <c r="C147" s="33" t="s">
        <v>53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FAT</v>
      </c>
    </row>
    <row r="148" spans="1:36" ht="12.75">
      <c r="A148" s="6">
        <v>8.24</v>
      </c>
      <c r="B148" s="33"/>
      <c r="C148" s="33" t="s">
        <v>53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FAT</v>
      </c>
    </row>
    <row r="149" spans="1:36" ht="12.75">
      <c r="A149" s="6">
        <v>8.25</v>
      </c>
      <c r="B149" s="33"/>
      <c r="C149" s="33" t="s">
        <v>47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FAT</v>
      </c>
    </row>
    <row r="150" spans="1:36" ht="12.75">
      <c r="A150" s="6">
        <v>8.26</v>
      </c>
      <c r="B150" s="33"/>
      <c r="C150" s="33" t="s">
        <v>47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FAT</v>
      </c>
    </row>
    <row r="151" spans="1:36" ht="12.75">
      <c r="A151" s="6">
        <v>8.27</v>
      </c>
      <c r="B151" s="33"/>
      <c r="C151" s="33" t="s">
        <v>47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FAT</v>
      </c>
    </row>
    <row r="152" spans="1:36" ht="12.75">
      <c r="A152" s="6">
        <v>8.2799999999999994</v>
      </c>
      <c r="B152" s="33"/>
      <c r="C152" s="33" t="s">
        <v>47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FAT</v>
      </c>
    </row>
    <row r="153" spans="1:36" ht="12.75">
      <c r="A153" s="6">
        <v>8.2899999999999991</v>
      </c>
      <c r="B153" s="33" t="s">
        <v>32</v>
      </c>
      <c r="C153" s="33" t="s">
        <v>35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FAT</v>
      </c>
    </row>
    <row r="154" spans="1:36" ht="12.75">
      <c r="A154" s="6">
        <v>8.3000000000000007</v>
      </c>
      <c r="B154" s="33" t="s">
        <v>32</v>
      </c>
      <c r="C154" s="33" t="s">
        <v>35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FAT</v>
      </c>
    </row>
    <row r="155" spans="1:36" ht="12.75">
      <c r="A155" s="6">
        <v>8.31</v>
      </c>
      <c r="B155" s="33" t="s">
        <v>32</v>
      </c>
      <c r="C155" s="33" t="s">
        <v>35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FAT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AJ156" s="33" t="str">
        <f t="shared" ca="1" si="30"/>
        <v/>
      </c>
    </row>
    <row r="157" spans="1:36" ht="12.75">
      <c r="A157" s="6">
        <v>9.02</v>
      </c>
      <c r="B157" s="33"/>
      <c r="C157" s="33" t="s">
        <v>45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FAT</v>
      </c>
    </row>
    <row r="158" spans="1:36" ht="12.75">
      <c r="A158" s="6">
        <v>9.0299999999999994</v>
      </c>
      <c r="B158" s="33"/>
      <c r="C158" s="33" t="s">
        <v>45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FAT</v>
      </c>
    </row>
    <row r="159" spans="1:36" ht="12.75">
      <c r="A159" s="6">
        <v>9.0399999999999991</v>
      </c>
      <c r="B159" s="33"/>
      <c r="C159" s="33" t="s">
        <v>45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FAT</v>
      </c>
    </row>
    <row r="160" spans="1:36" ht="12.75">
      <c r="A160" s="6">
        <v>9.0500000000000007</v>
      </c>
      <c r="B160" s="33"/>
      <c r="C160" s="33" t="s">
        <v>34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FAT</v>
      </c>
    </row>
    <row r="161" spans="1:36" ht="12.75">
      <c r="A161" s="6">
        <v>9.06</v>
      </c>
      <c r="B161" s="33"/>
      <c r="C161" s="33" t="s">
        <v>34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FAT</v>
      </c>
    </row>
    <row r="162" spans="1:36" ht="12.75">
      <c r="A162" s="6">
        <v>9.07</v>
      </c>
      <c r="B162" s="33"/>
      <c r="C162" s="33" t="s">
        <v>34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FAT</v>
      </c>
    </row>
    <row r="163" spans="1:36" ht="12.75">
      <c r="A163" s="6">
        <v>9.08</v>
      </c>
      <c r="B163" s="33"/>
      <c r="C163" s="33" t="s">
        <v>12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FAT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12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FAT</v>
      </c>
    </row>
    <row r="166" spans="1:36" ht="12.75">
      <c r="A166" s="6">
        <v>9.11</v>
      </c>
      <c r="B166" s="33"/>
      <c r="C166" s="33" t="s">
        <v>12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FAT</v>
      </c>
    </row>
    <row r="167" spans="1:36" ht="12.75">
      <c r="A167" s="6">
        <v>9.1199999999999992</v>
      </c>
      <c r="B167" s="32" t="s">
        <v>32</v>
      </c>
      <c r="C167" s="33" t="s">
        <v>40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FAT</v>
      </c>
    </row>
    <row r="168" spans="1:36" ht="12.75">
      <c r="A168" s="6">
        <v>9.1300000000000008</v>
      </c>
      <c r="B168" s="32" t="s">
        <v>32</v>
      </c>
      <c r="C168" s="33" t="s">
        <v>40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FAT</v>
      </c>
    </row>
    <row r="169" spans="1:36" ht="12.75">
      <c r="A169" s="6">
        <v>9.14</v>
      </c>
      <c r="B169" s="32" t="s">
        <v>32</v>
      </c>
      <c r="C169" s="33" t="s">
        <v>40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FAT</v>
      </c>
    </row>
    <row r="170" spans="1:36" ht="12.75">
      <c r="A170" s="6">
        <v>9.15</v>
      </c>
      <c r="B170" s="32" t="s">
        <v>32</v>
      </c>
      <c r="C170" s="33" t="s">
        <v>40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FAT</v>
      </c>
    </row>
    <row r="171" spans="1:36" ht="12.75">
      <c r="A171" s="6">
        <v>9.16</v>
      </c>
      <c r="B171" s="33"/>
      <c r="C171" s="33" t="s">
        <v>42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FAT</v>
      </c>
    </row>
    <row r="172" spans="1:36" ht="12.75">
      <c r="A172" s="6">
        <v>9.17</v>
      </c>
      <c r="B172" s="33"/>
      <c r="C172" s="33" t="s">
        <v>42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FAT</v>
      </c>
    </row>
    <row r="173" spans="1:36" ht="12.75">
      <c r="A173" s="6">
        <v>9.18</v>
      </c>
      <c r="B173" s="33"/>
      <c r="C173" s="33" t="s">
        <v>42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FAT</v>
      </c>
    </row>
    <row r="174" spans="1:36" ht="12.75">
      <c r="A174" s="6">
        <v>9.19</v>
      </c>
      <c r="B174" s="33" t="s">
        <v>32</v>
      </c>
      <c r="C174" s="33" t="s">
        <v>41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FAT</v>
      </c>
    </row>
    <row r="175" spans="1:36" ht="12.75">
      <c r="A175" s="6">
        <v>9.1999999999999993</v>
      </c>
      <c r="B175" s="33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AJ175" s="33" t="str">
        <f t="shared" ca="1" si="30"/>
        <v/>
      </c>
    </row>
    <row r="176" spans="1:36" ht="12.75">
      <c r="A176" s="6">
        <v>9.2100000000000009</v>
      </c>
      <c r="B176" s="33" t="s">
        <v>32</v>
      </c>
      <c r="C176" s="33" t="s">
        <v>41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FAT</v>
      </c>
    </row>
    <row r="177" spans="1:36" ht="12.75">
      <c r="A177" s="6">
        <v>9.2200000000000006</v>
      </c>
      <c r="B177" s="33" t="s">
        <v>32</v>
      </c>
      <c r="C177" s="33" t="s">
        <v>41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FAT</v>
      </c>
    </row>
    <row r="178" spans="1:36" ht="12.75">
      <c r="A178" s="6">
        <v>9.23</v>
      </c>
      <c r="B178" s="33" t="s">
        <v>32</v>
      </c>
      <c r="C178" s="33" t="s">
        <v>41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FAT</v>
      </c>
    </row>
    <row r="179" spans="1:36" ht="12.75">
      <c r="A179" s="6">
        <v>9.24</v>
      </c>
      <c r="B179" s="33" t="s">
        <v>32</v>
      </c>
      <c r="C179" s="33" t="s">
        <v>43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FAT</v>
      </c>
    </row>
    <row r="180" spans="1:36" ht="12.75">
      <c r="A180" s="6">
        <v>9.25</v>
      </c>
      <c r="B180" s="33" t="s">
        <v>32</v>
      </c>
      <c r="C180" s="33" t="s">
        <v>43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FAT</v>
      </c>
    </row>
    <row r="181" spans="1:36" ht="12.75">
      <c r="A181" s="6">
        <v>9.26</v>
      </c>
      <c r="B181" s="33" t="s">
        <v>32</v>
      </c>
      <c r="C181" s="33" t="s">
        <v>43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FAT</v>
      </c>
    </row>
    <row r="182" spans="1:36" ht="12.75">
      <c r="A182" s="6">
        <v>9.27</v>
      </c>
      <c r="B182" s="33" t="s">
        <v>32</v>
      </c>
      <c r="C182" s="33" t="s">
        <v>44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FAT</v>
      </c>
    </row>
    <row r="183" spans="1:36" ht="12.75">
      <c r="A183" s="6">
        <v>9.2799999999999994</v>
      </c>
      <c r="B183" s="33" t="s">
        <v>32</v>
      </c>
      <c r="C183" s="33" t="s">
        <v>44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FAT</v>
      </c>
    </row>
    <row r="184" spans="1:36" ht="12.75">
      <c r="A184" s="6">
        <v>9.2899999999999991</v>
      </c>
      <c r="B184" s="33" t="s">
        <v>32</v>
      </c>
      <c r="C184" s="33" t="s">
        <v>44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FAT</v>
      </c>
    </row>
    <row r="185" spans="1:36" ht="12.75">
      <c r="A185" s="6">
        <v>9.3000000000000007</v>
      </c>
      <c r="B185" s="33" t="s">
        <v>32</v>
      </c>
      <c r="C185" s="33" t="s">
        <v>44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FAT</v>
      </c>
    </row>
    <row r="186" spans="1:36">
      <c r="C186" s="2"/>
      <c r="K186" s="1"/>
      <c r="L186" s="9"/>
      <c r="M186" s="8"/>
      <c r="N186" s="8"/>
      <c r="O186" s="8"/>
      <c r="P186" s="5"/>
      <c r="AJ186" s="2"/>
    </row>
    <row r="187" spans="1:36">
      <c r="B187" s="5">
        <f>COUNTIF(B3:B185,"@")</f>
        <v>81</v>
      </c>
      <c r="C187" s="2"/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AJ187" s="2">
        <f ca="1">COUNTIF(AJ3:AJ185,A1)</f>
        <v>162</v>
      </c>
    </row>
    <row r="188" spans="1:36">
      <c r="C188" s="2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AJ188" s="2"/>
    </row>
    <row r="189" spans="1:36">
      <c r="C189" s="2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AJ189" s="2"/>
    </row>
    <row r="190" spans="1:36">
      <c r="C190" s="2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AJ190" s="2"/>
    </row>
    <row r="191" spans="1:36">
      <c r="C191" s="2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AJ191" s="2"/>
    </row>
    <row r="192" spans="1:36">
      <c r="C192" s="2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AJ192" s="2"/>
    </row>
    <row r="193" spans="3:36">
      <c r="C193" s="2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AJ193" s="2"/>
    </row>
    <row r="194" spans="3:36">
      <c r="C194" s="2"/>
      <c r="K194" s="2"/>
      <c r="AJ194" s="2"/>
    </row>
    <row r="195" spans="3:36">
      <c r="C195" s="2"/>
      <c r="K195" s="2"/>
      <c r="AJ195" s="2"/>
    </row>
    <row r="196" spans="3:36">
      <c r="C196" s="2"/>
      <c r="K196" s="2"/>
      <c r="AJ196" s="2"/>
    </row>
    <row r="197" spans="3:36">
      <c r="C197" s="2"/>
      <c r="K197" s="2"/>
      <c r="AJ197" s="2"/>
    </row>
    <row r="198" spans="3:36">
      <c r="C198" s="2"/>
      <c r="K198" s="2"/>
      <c r="AJ198" s="2"/>
    </row>
    <row r="199" spans="3:36">
      <c r="C199" s="2"/>
      <c r="K199" s="2"/>
      <c r="AJ199" s="2"/>
    </row>
    <row r="200" spans="3:36">
      <c r="C200" s="2"/>
      <c r="K200" s="2"/>
      <c r="AJ200" s="2"/>
    </row>
    <row r="201" spans="3:36">
      <c r="C201" s="2"/>
      <c r="K201" s="2"/>
      <c r="AJ201" s="2"/>
    </row>
    <row r="202" spans="3:36">
      <c r="C202" s="2"/>
      <c r="K202" s="2"/>
      <c r="AJ202" s="2"/>
    </row>
    <row r="203" spans="3:36">
      <c r="C203" s="2"/>
      <c r="K203" s="2"/>
      <c r="AJ203" s="2"/>
    </row>
    <row r="204" spans="3:36">
      <c r="C204" s="2"/>
      <c r="AJ204" s="2"/>
    </row>
    <row r="205" spans="3:36">
      <c r="C205" s="2"/>
      <c r="AJ205" s="2"/>
    </row>
    <row r="206" spans="3:36">
      <c r="C206" s="2"/>
      <c r="AJ206" s="2"/>
    </row>
    <row r="207" spans="3:36">
      <c r="C207" s="2"/>
      <c r="AJ207" s="2"/>
    </row>
    <row r="208" spans="3:36">
      <c r="C208" s="2"/>
      <c r="AJ208" s="2"/>
    </row>
    <row r="209" spans="3:36">
      <c r="C209" s="2"/>
      <c r="AJ209" s="2"/>
    </row>
    <row r="210" spans="3:36">
      <c r="C210" s="2"/>
      <c r="AJ210" s="2"/>
    </row>
    <row r="211" spans="3:36">
      <c r="C211" s="2"/>
      <c r="AJ211" s="2"/>
    </row>
    <row r="212" spans="3:36">
      <c r="C212" s="2"/>
      <c r="AJ212" s="2"/>
    </row>
    <row r="213" spans="3:36">
      <c r="C213" s="2"/>
      <c r="AJ213" s="2"/>
    </row>
    <row r="214" spans="3:36">
      <c r="C214" s="2"/>
      <c r="AJ214" s="2"/>
    </row>
    <row r="215" spans="3:36">
      <c r="C215" s="2"/>
      <c r="AJ215" s="2"/>
    </row>
    <row r="216" spans="3:36">
      <c r="C216" s="2"/>
      <c r="AJ216" s="2"/>
    </row>
    <row r="217" spans="3:36">
      <c r="C217" s="2"/>
      <c r="AJ217" s="2"/>
    </row>
  </sheetData>
  <phoneticPr fontId="0" type="noConversion"/>
  <conditionalFormatting sqref="AK3:AK22">
    <cfRule type="cellIs" dxfId="6945" priority="760" stopIfTrue="1" operator="equal">
      <formula>"must average at least 5 innings per start"</formula>
    </cfRule>
  </conditionalFormatting>
  <conditionalFormatting sqref="AK23">
    <cfRule type="cellIs" dxfId="6944" priority="761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43" priority="763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6942" priority="764" stopIfTrue="1" operator="equal">
      <formula>"input a different starter in column C"</formula>
    </cfRule>
  </conditionalFormatting>
  <conditionalFormatting sqref="AH3:AH22">
    <cfRule type="cellIs" dxfId="6941" priority="361" stopIfTrue="1" operator="equal">
      <formula>"must average at least 5 innings per start"</formula>
    </cfRule>
  </conditionalFormatting>
  <conditionalFormatting sqref="AH23">
    <cfRule type="cellIs" dxfId="6940" priority="360" stopIfTrue="1" operator="equal">
      <formula>"must have 162 starts"</formula>
    </cfRule>
  </conditionalFormatting>
  <conditionalFormatting sqref="AG3:AG22">
    <cfRule type="cellIs" dxfId="6939" priority="359" stopIfTrue="1" operator="equal">
      <formula>"must average at least 5 innings per start"</formula>
    </cfRule>
  </conditionalFormatting>
  <conditionalFormatting sqref="AG23">
    <cfRule type="cellIs" dxfId="6938" priority="358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37" priority="35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36" priority="35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35" priority="35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34" priority="35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33" priority="35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32" priority="35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31" priority="35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30" priority="35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9" priority="34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8" priority="34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7" priority="34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6" priority="34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5" priority="34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4" priority="34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3" priority="34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2" priority="34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1" priority="34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20" priority="34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19" priority="33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918" priority="338" stopIfTrue="1" operator="equal">
      <formula>"input starter in column C"</formula>
    </cfRule>
  </conditionalFormatting>
  <conditionalFormatting sqref="P3">
    <cfRule type="cellIs" dxfId="6917" priority="337" stopIfTrue="1" operator="equal">
      <formula>"input starter in column D"</formula>
    </cfRule>
  </conditionalFormatting>
  <conditionalFormatting sqref="P4">
    <cfRule type="cellIs" dxfId="6916" priority="336" stopIfTrue="1" operator="equal">
      <formula>"input starter in column D"</formula>
    </cfRule>
  </conditionalFormatting>
  <conditionalFormatting sqref="P5">
    <cfRule type="cellIs" dxfId="6915" priority="335" stopIfTrue="1" operator="equal">
      <formula>"INPUT STARTER IN COLUMN D"</formula>
    </cfRule>
  </conditionalFormatting>
  <conditionalFormatting sqref="P6">
    <cfRule type="cellIs" dxfId="6914" priority="334" stopIfTrue="1" operator="equal">
      <formula>"INPUT STARTER IN COLUMN D"</formula>
    </cfRule>
  </conditionalFormatting>
  <conditionalFormatting sqref="P8">
    <cfRule type="cellIs" dxfId="6913" priority="333" stopIfTrue="1" operator="equal">
      <formula>"INPUT STARTER IN COLUMN D"</formula>
    </cfRule>
  </conditionalFormatting>
  <conditionalFormatting sqref="P9">
    <cfRule type="cellIs" dxfId="6912" priority="332" stopIfTrue="1" operator="equal">
      <formula>"INPUT STARTER IN COLUMN D"</formula>
    </cfRule>
  </conditionalFormatting>
  <conditionalFormatting sqref="P10">
    <cfRule type="cellIs" dxfId="6911" priority="331" stopIfTrue="1" operator="equal">
      <formula>"INPUT STARTER IN COLUMN D"</formula>
    </cfRule>
  </conditionalFormatting>
  <conditionalFormatting sqref="P11">
    <cfRule type="cellIs" dxfId="6910" priority="330" stopIfTrue="1" operator="equal">
      <formula>"INPUT STARTER IN COLUMN D"</formula>
    </cfRule>
  </conditionalFormatting>
  <conditionalFormatting sqref="P13">
    <cfRule type="cellIs" dxfId="6909" priority="329" stopIfTrue="1" operator="equal">
      <formula>"INPUT STARTER IN COLUMN D"</formula>
    </cfRule>
  </conditionalFormatting>
  <conditionalFormatting sqref="P14">
    <cfRule type="cellIs" dxfId="6908" priority="328" stopIfTrue="1" operator="equal">
      <formula>"INPUT STARTER IN COLUMN D"</formula>
    </cfRule>
  </conditionalFormatting>
  <conditionalFormatting sqref="P15">
    <cfRule type="cellIs" dxfId="6907" priority="327" stopIfTrue="1" operator="equal">
      <formula>"INPUT STARTER IN COLUMN D"</formula>
    </cfRule>
  </conditionalFormatting>
  <conditionalFormatting sqref="P16">
    <cfRule type="cellIs" dxfId="6906" priority="326" stopIfTrue="1" operator="equal">
      <formula>"INPUT STARTER IN COLUMN D"</formula>
    </cfRule>
  </conditionalFormatting>
  <conditionalFormatting sqref="P18">
    <cfRule type="cellIs" dxfId="6905" priority="325" stopIfTrue="1" operator="equal">
      <formula>"INPUT STARTER IN COLUMN D"</formula>
    </cfRule>
  </conditionalFormatting>
  <conditionalFormatting sqref="P19">
    <cfRule type="cellIs" dxfId="6904" priority="324" stopIfTrue="1" operator="equal">
      <formula>"INPUT STARTER IN COLUMN D"</formula>
    </cfRule>
  </conditionalFormatting>
  <conditionalFormatting sqref="P20">
    <cfRule type="cellIs" dxfId="6903" priority="323" stopIfTrue="1" operator="equal">
      <formula>"INPUT STARTER IN COLUMN D"</formula>
    </cfRule>
  </conditionalFormatting>
  <conditionalFormatting sqref="P21">
    <cfRule type="cellIs" dxfId="6902" priority="322" stopIfTrue="1" operator="equal">
      <formula>"INPUT STARTER IN COLUMN D"</formula>
    </cfRule>
  </conditionalFormatting>
  <conditionalFormatting sqref="P23">
    <cfRule type="cellIs" dxfId="6901" priority="321" stopIfTrue="1" operator="equal">
      <formula>"INPUT STARTER IN COLUMN D"</formula>
    </cfRule>
  </conditionalFormatting>
  <conditionalFormatting sqref="P24">
    <cfRule type="cellIs" dxfId="6900" priority="320" stopIfTrue="1" operator="equal">
      <formula>"INPUT STARTER IN COLUMN D"</formula>
    </cfRule>
  </conditionalFormatting>
  <conditionalFormatting sqref="P25">
    <cfRule type="cellIs" dxfId="6899" priority="319" stopIfTrue="1" operator="equal">
      <formula>"INPUT STARTER IN COLUMN D"</formula>
    </cfRule>
  </conditionalFormatting>
  <conditionalFormatting sqref="P26">
    <cfRule type="cellIs" dxfId="6898" priority="318" stopIfTrue="1" operator="equal">
      <formula>"INPUT STARTER IN COLUMN D"</formula>
    </cfRule>
  </conditionalFormatting>
  <conditionalFormatting sqref="P28">
    <cfRule type="cellIs" dxfId="6897" priority="317" stopIfTrue="1" operator="equal">
      <formula>"INPUT STARTER IN COLUMN D"</formula>
    </cfRule>
  </conditionalFormatting>
  <conditionalFormatting sqref="P29">
    <cfRule type="cellIs" dxfId="6896" priority="316" stopIfTrue="1" operator="equal">
      <formula>"INPUT STARTER IN COLUMN D"</formula>
    </cfRule>
  </conditionalFormatting>
  <conditionalFormatting sqref="P30">
    <cfRule type="cellIs" dxfId="6895" priority="315" stopIfTrue="1" operator="equal">
      <formula>"INPUT STARTER IN COLUMN D"</formula>
    </cfRule>
  </conditionalFormatting>
  <conditionalFormatting sqref="P31">
    <cfRule type="cellIs" dxfId="6894" priority="314" stopIfTrue="1" operator="equal">
      <formula>"INPUT STARTER IN COLUMN D"</formula>
    </cfRule>
  </conditionalFormatting>
  <conditionalFormatting sqref="P33">
    <cfRule type="cellIs" dxfId="6893" priority="313" stopIfTrue="1" operator="equal">
      <formula>"INPUT STARTER IN COLUMN D"</formula>
    </cfRule>
  </conditionalFormatting>
  <conditionalFormatting sqref="P34">
    <cfRule type="cellIs" dxfId="6892" priority="312" stopIfTrue="1" operator="equal">
      <formula>"INPUT STARTER IN COLUMN D"</formula>
    </cfRule>
  </conditionalFormatting>
  <conditionalFormatting sqref="P35">
    <cfRule type="cellIs" dxfId="6891" priority="311" stopIfTrue="1" operator="equal">
      <formula>"INPUT STARTER IN COLUMN D"</formula>
    </cfRule>
  </conditionalFormatting>
  <conditionalFormatting sqref="P36">
    <cfRule type="cellIs" dxfId="6890" priority="310" stopIfTrue="1" operator="equal">
      <formula>"INPUT STARTER IN COLUMN D"</formula>
    </cfRule>
  </conditionalFormatting>
  <conditionalFormatting sqref="P37">
    <cfRule type="cellIs" dxfId="6889" priority="309" stopIfTrue="1" operator="equal">
      <formula>"INPUT STARTER IN COLUMN D"</formula>
    </cfRule>
  </conditionalFormatting>
  <conditionalFormatting sqref="P38">
    <cfRule type="cellIs" dxfId="6888" priority="308" stopIfTrue="1" operator="equal">
      <formula>"INPUT STARTER IN COLUMN D"</formula>
    </cfRule>
  </conditionalFormatting>
  <conditionalFormatting sqref="P39">
    <cfRule type="cellIs" dxfId="6887" priority="307" stopIfTrue="1" operator="equal">
      <formula>"INPUT STARTER IN COLUMN D"</formula>
    </cfRule>
  </conditionalFormatting>
  <conditionalFormatting sqref="P40">
    <cfRule type="cellIs" dxfId="6886" priority="306" stopIfTrue="1" operator="equal">
      <formula>"INPUT STARTER IN COLUMN D"</formula>
    </cfRule>
  </conditionalFormatting>
  <conditionalFormatting sqref="P42">
    <cfRule type="cellIs" dxfId="6885" priority="305" stopIfTrue="1" operator="equal">
      <formula>"INPUT STARTER IN COLUMN D"</formula>
    </cfRule>
  </conditionalFormatting>
  <conditionalFormatting sqref="P43">
    <cfRule type="cellIs" dxfId="6884" priority="304" stopIfTrue="1" operator="equal">
      <formula>"INPUT STARTER IN COLUMN D"</formula>
    </cfRule>
  </conditionalFormatting>
  <conditionalFormatting sqref="P44">
    <cfRule type="cellIs" dxfId="6883" priority="303" stopIfTrue="1" operator="equal">
      <formula>"INPUT STARTER IN COLUMN D"</formula>
    </cfRule>
  </conditionalFormatting>
  <conditionalFormatting sqref="P45">
    <cfRule type="cellIs" dxfId="6882" priority="302" stopIfTrue="1" operator="equal">
      <formula>"INPUT STARTER IN COLUMN D"</formula>
    </cfRule>
  </conditionalFormatting>
  <conditionalFormatting sqref="P46">
    <cfRule type="cellIs" dxfId="6881" priority="301" stopIfTrue="1" operator="equal">
      <formula>"INPUT STARTER IN COLUMN D"</formula>
    </cfRule>
  </conditionalFormatting>
  <conditionalFormatting sqref="P47">
    <cfRule type="cellIs" dxfId="6880" priority="300" stopIfTrue="1" operator="equal">
      <formula>"INPUT STARTER IN COLUMN D"</formula>
    </cfRule>
  </conditionalFormatting>
  <conditionalFormatting sqref="P49">
    <cfRule type="cellIs" dxfId="6879" priority="299" stopIfTrue="1" operator="equal">
      <formula>"INPUT STARTER IN COLUMN D"</formula>
    </cfRule>
  </conditionalFormatting>
  <conditionalFormatting sqref="P50">
    <cfRule type="cellIs" dxfId="6878" priority="298" stopIfTrue="1" operator="equal">
      <formula>"INPUT STARTER IN COLUMN D"</formula>
    </cfRule>
  </conditionalFormatting>
  <conditionalFormatting sqref="P51">
    <cfRule type="cellIs" dxfId="6877" priority="297" stopIfTrue="1" operator="equal">
      <formula>"INPUT STARTER IN COLUMN D"</formula>
    </cfRule>
  </conditionalFormatting>
  <conditionalFormatting sqref="P52">
    <cfRule type="cellIs" dxfId="6876" priority="296" stopIfTrue="1" operator="equal">
      <formula>"INPUT STARTER IN COLUMN D"</formula>
    </cfRule>
  </conditionalFormatting>
  <conditionalFormatting sqref="P53">
    <cfRule type="cellIs" dxfId="6875" priority="295" stopIfTrue="1" operator="equal">
      <formula>"INPUT STARTER IN COLUMN D"</formula>
    </cfRule>
  </conditionalFormatting>
  <conditionalFormatting sqref="P54">
    <cfRule type="cellIs" dxfId="6874" priority="294" stopIfTrue="1" operator="equal">
      <formula>"INPUT STARTER IN COLUMN D"</formula>
    </cfRule>
  </conditionalFormatting>
  <conditionalFormatting sqref="P56">
    <cfRule type="cellIs" dxfId="6873" priority="293" stopIfTrue="1" operator="equal">
      <formula>"INPUT STARTER IN COLUMN D"</formula>
    </cfRule>
  </conditionalFormatting>
  <conditionalFormatting sqref="P57">
    <cfRule type="cellIs" dxfId="6872" priority="292" stopIfTrue="1" operator="equal">
      <formula>"INPUT STARTER IN COLUMN D"</formula>
    </cfRule>
  </conditionalFormatting>
  <conditionalFormatting sqref="P58">
    <cfRule type="cellIs" dxfId="6871" priority="291" stopIfTrue="1" operator="equal">
      <formula>"INPUT STARTER IN COLUMN D"</formula>
    </cfRule>
  </conditionalFormatting>
  <conditionalFormatting sqref="P59">
    <cfRule type="cellIs" dxfId="6870" priority="290" stopIfTrue="1" operator="equal">
      <formula>"INPUT STARTER IN COLUMN D"</formula>
    </cfRule>
  </conditionalFormatting>
  <conditionalFormatting sqref="P60">
    <cfRule type="cellIs" dxfId="6869" priority="289" stopIfTrue="1" operator="equal">
      <formula>"INPUT STARTER IN COLUMN D"</formula>
    </cfRule>
  </conditionalFormatting>
  <conditionalFormatting sqref="P61">
    <cfRule type="cellIs" dxfId="6868" priority="288" stopIfTrue="1" operator="equal">
      <formula>"INPUT STARTER IN COLUMN D"</formula>
    </cfRule>
  </conditionalFormatting>
  <conditionalFormatting sqref="P63">
    <cfRule type="cellIs" dxfId="6867" priority="287" stopIfTrue="1" operator="equal">
      <formula>"INPUT STARTER IN COLUMN D"</formula>
    </cfRule>
  </conditionalFormatting>
  <conditionalFormatting sqref="P64">
    <cfRule type="cellIs" dxfId="6866" priority="286" stopIfTrue="1" operator="equal">
      <formula>"INPUT STARTER IN COLUMN D"</formula>
    </cfRule>
  </conditionalFormatting>
  <conditionalFormatting sqref="P65">
    <cfRule type="cellIs" dxfId="6865" priority="285" stopIfTrue="1" operator="equal">
      <formula>"INPUT STARTER IN COLUMN D"</formula>
    </cfRule>
  </conditionalFormatting>
  <conditionalFormatting sqref="P66">
    <cfRule type="cellIs" dxfId="6864" priority="284" stopIfTrue="1" operator="equal">
      <formula>"INPUT STARTER IN COLUMN D"</formula>
    </cfRule>
  </conditionalFormatting>
  <conditionalFormatting sqref="P67">
    <cfRule type="cellIs" dxfId="6863" priority="283" stopIfTrue="1" operator="equal">
      <formula>"INPUT STARTER IN COLUMN D"</formula>
    </cfRule>
  </conditionalFormatting>
  <conditionalFormatting sqref="P68">
    <cfRule type="cellIs" dxfId="6862" priority="282" stopIfTrue="1" operator="equal">
      <formula>"INPUT STARTER IN COLUMN D"</formula>
    </cfRule>
  </conditionalFormatting>
  <conditionalFormatting sqref="P69">
    <cfRule type="cellIs" dxfId="6861" priority="281" stopIfTrue="1" operator="equal">
      <formula>"INPUT STARTER IN COLUMN D"</formula>
    </cfRule>
  </conditionalFormatting>
  <conditionalFormatting sqref="P71">
    <cfRule type="cellIs" dxfId="6860" priority="280" stopIfTrue="1" operator="equal">
      <formula>"INPUT STARTER IN COLUMN D"</formula>
    </cfRule>
  </conditionalFormatting>
  <conditionalFormatting sqref="P72">
    <cfRule type="cellIs" dxfId="6859" priority="279" stopIfTrue="1" operator="equal">
      <formula>"INPUT STARTER IN COLUMN D"</formula>
    </cfRule>
  </conditionalFormatting>
  <conditionalFormatting sqref="P73">
    <cfRule type="cellIs" dxfId="6858" priority="278" stopIfTrue="1" operator="equal">
      <formula>"INPUT STARTER IN COLUMN D"</formula>
    </cfRule>
  </conditionalFormatting>
  <conditionalFormatting sqref="P74">
    <cfRule type="cellIs" dxfId="6857" priority="277" stopIfTrue="1" operator="equal">
      <formula>"INPUT STARTER IN COLUMN D"</formula>
    </cfRule>
  </conditionalFormatting>
  <conditionalFormatting sqref="P75">
    <cfRule type="cellIs" dxfId="6856" priority="276" stopIfTrue="1" operator="equal">
      <formula>"INPUT STARTER IN COLUMN D"</formula>
    </cfRule>
  </conditionalFormatting>
  <conditionalFormatting sqref="P76">
    <cfRule type="cellIs" dxfId="6855" priority="275" stopIfTrue="1" operator="equal">
      <formula>"INPUT STARTER IN COLUMN D"</formula>
    </cfRule>
  </conditionalFormatting>
  <conditionalFormatting sqref="P77">
    <cfRule type="cellIs" dxfId="6854" priority="274" stopIfTrue="1" operator="equal">
      <formula>"INPUT STARTER IN COLUMN D"</formula>
    </cfRule>
  </conditionalFormatting>
  <conditionalFormatting sqref="P78">
    <cfRule type="cellIs" dxfId="6853" priority="273" stopIfTrue="1" operator="equal">
      <formula>"INPUT STARTER IN COLUMN D"</formula>
    </cfRule>
  </conditionalFormatting>
  <conditionalFormatting sqref="P79">
    <cfRule type="cellIs" dxfId="6852" priority="272" stopIfTrue="1" operator="equal">
      <formula>"INPUT STARTER IN COLUMN D"</formula>
    </cfRule>
  </conditionalFormatting>
  <conditionalFormatting sqref="P80">
    <cfRule type="cellIs" dxfId="6851" priority="271" stopIfTrue="1" operator="equal">
      <formula>"INPUT STARTER IN COLUMN D"</formula>
    </cfRule>
  </conditionalFormatting>
  <conditionalFormatting sqref="P81">
    <cfRule type="cellIs" dxfId="6850" priority="270" stopIfTrue="1" operator="equal">
      <formula>"INPUT STARTER IN COLUMN D"</formula>
    </cfRule>
  </conditionalFormatting>
  <conditionalFormatting sqref="P82">
    <cfRule type="cellIs" dxfId="6849" priority="269" stopIfTrue="1" operator="equal">
      <formula>"INPUT STARTER IN COLUMN D"</formula>
    </cfRule>
  </conditionalFormatting>
  <conditionalFormatting sqref="P84">
    <cfRule type="cellIs" dxfId="6848" priority="268" stopIfTrue="1" operator="equal">
      <formula>"INPUT STARTER IN COLUMN D"</formula>
    </cfRule>
  </conditionalFormatting>
  <conditionalFormatting sqref="P85">
    <cfRule type="cellIs" dxfId="6847" priority="267" stopIfTrue="1" operator="equal">
      <formula>"INPUT STARTER IN COLUMN D"</formula>
    </cfRule>
  </conditionalFormatting>
  <conditionalFormatting sqref="P86">
    <cfRule type="cellIs" dxfId="6846" priority="266" stopIfTrue="1" operator="equal">
      <formula>"INPUT STARTER IN COLUMN D"</formula>
    </cfRule>
  </conditionalFormatting>
  <conditionalFormatting sqref="P87">
    <cfRule type="cellIs" dxfId="6845" priority="265" stopIfTrue="1" operator="equal">
      <formula>"INPUT STARTER IN COLUMN D"</formula>
    </cfRule>
  </conditionalFormatting>
  <conditionalFormatting sqref="P88">
    <cfRule type="cellIs" dxfId="6844" priority="264" stopIfTrue="1" operator="equal">
      <formula>"INPUT STARTER IN COLUMN D"</formula>
    </cfRule>
  </conditionalFormatting>
  <conditionalFormatting sqref="P89">
    <cfRule type="cellIs" dxfId="6843" priority="263" stopIfTrue="1" operator="equal">
      <formula>"INPUT STARTER IN COLUMN D"</formula>
    </cfRule>
  </conditionalFormatting>
  <conditionalFormatting sqref="P91">
    <cfRule type="cellIs" dxfId="6842" priority="262" stopIfTrue="1" operator="equal">
      <formula>"INPUT STARTER IN COLUMN D"</formula>
    </cfRule>
  </conditionalFormatting>
  <conditionalFormatting sqref="P92">
    <cfRule type="cellIs" dxfId="6841" priority="261" stopIfTrue="1" operator="equal">
      <formula>"INPUT STARTER IN COLUMN D"</formula>
    </cfRule>
  </conditionalFormatting>
  <conditionalFormatting sqref="P93">
    <cfRule type="cellIs" dxfId="6840" priority="260" stopIfTrue="1" operator="equal">
      <formula>"INPUT STARTER IN COLUMN D"</formula>
    </cfRule>
  </conditionalFormatting>
  <conditionalFormatting sqref="P94">
    <cfRule type="cellIs" dxfId="6839" priority="259" stopIfTrue="1" operator="equal">
      <formula>"INPUT STARTER IN COLUMN D"</formula>
    </cfRule>
  </conditionalFormatting>
  <conditionalFormatting sqref="P95">
    <cfRule type="cellIs" dxfId="6838" priority="258" stopIfTrue="1" operator="equal">
      <formula>"INPUT STARTER IN COLUMN D"</formula>
    </cfRule>
  </conditionalFormatting>
  <conditionalFormatting sqref="P96">
    <cfRule type="cellIs" dxfId="6837" priority="257" stopIfTrue="1" operator="equal">
      <formula>"INPUT STARTER IN COLUMN D"</formula>
    </cfRule>
  </conditionalFormatting>
  <conditionalFormatting sqref="P97">
    <cfRule type="cellIs" dxfId="6836" priority="256" stopIfTrue="1" operator="equal">
      <formula>"INPUT STARTER IN COLUMN D"</formula>
    </cfRule>
  </conditionalFormatting>
  <conditionalFormatting sqref="P98">
    <cfRule type="cellIs" dxfId="6835" priority="255" stopIfTrue="1" operator="equal">
      <formula>"INPUT STARTER IN COLUMN D"</formula>
    </cfRule>
  </conditionalFormatting>
  <conditionalFormatting sqref="P99">
    <cfRule type="cellIs" dxfId="6834" priority="254" stopIfTrue="1" operator="equal">
      <formula>"INPUT STARTER IN COLUMN D"</formula>
    </cfRule>
  </conditionalFormatting>
  <conditionalFormatting sqref="P100">
    <cfRule type="cellIs" dxfId="6833" priority="253" stopIfTrue="1" operator="equal">
      <formula>"INPUT STARTER IN COLUMN D"</formula>
    </cfRule>
  </conditionalFormatting>
  <conditionalFormatting sqref="P101">
    <cfRule type="cellIs" dxfId="6832" priority="252" stopIfTrue="1" operator="equal">
      <formula>"INPUT STARTER IN COLUMN D"</formula>
    </cfRule>
  </conditionalFormatting>
  <conditionalFormatting sqref="P102">
    <cfRule type="cellIs" dxfId="6831" priority="251" stopIfTrue="1" operator="equal">
      <formula>"INPUT STARTER IN COLUMN D"</formula>
    </cfRule>
  </conditionalFormatting>
  <conditionalFormatting sqref="P106">
    <cfRule type="cellIs" dxfId="6830" priority="250" stopIfTrue="1" operator="equal">
      <formula>"INPUT STARTER IN COLUMN D"</formula>
    </cfRule>
  </conditionalFormatting>
  <conditionalFormatting sqref="P107">
    <cfRule type="cellIs" dxfId="6829" priority="249" stopIfTrue="1" operator="equal">
      <formula>"INPUT STARTER IN COLUMN D"</formula>
    </cfRule>
  </conditionalFormatting>
  <conditionalFormatting sqref="P108">
    <cfRule type="cellIs" dxfId="6828" priority="248" stopIfTrue="1" operator="equal">
      <formula>"INPUT STARTER IN COLUMN D"</formula>
    </cfRule>
  </conditionalFormatting>
  <conditionalFormatting sqref="P109">
    <cfRule type="cellIs" dxfId="6827" priority="247" stopIfTrue="1" operator="equal">
      <formula>"INPUT STARTER IN COLUMN D"</formula>
    </cfRule>
  </conditionalFormatting>
  <conditionalFormatting sqref="P110">
    <cfRule type="cellIs" dxfId="6826" priority="246" stopIfTrue="1" operator="equal">
      <formula>"INPUT STARTER IN COLUMN D"</formula>
    </cfRule>
  </conditionalFormatting>
  <conditionalFormatting sqref="P111">
    <cfRule type="cellIs" dxfId="6825" priority="245" stopIfTrue="1" operator="equal">
      <formula>"INPUT STARTER IN COLUMN D"</formula>
    </cfRule>
  </conditionalFormatting>
  <conditionalFormatting sqref="P112">
    <cfRule type="cellIs" dxfId="6824" priority="244" stopIfTrue="1" operator="equal">
      <formula>"INPUT STARTER IN COLUMN D"</formula>
    </cfRule>
  </conditionalFormatting>
  <conditionalFormatting sqref="P113">
    <cfRule type="cellIs" dxfId="6823" priority="243" stopIfTrue="1" operator="equal">
      <formula>"INPUT STARTER IN COLUMN D"</formula>
    </cfRule>
  </conditionalFormatting>
  <conditionalFormatting sqref="P114">
    <cfRule type="cellIs" dxfId="6822" priority="242" stopIfTrue="1" operator="equal">
      <formula>"INPUT STARTER IN COLUMN D"</formula>
    </cfRule>
  </conditionalFormatting>
  <conditionalFormatting sqref="P115">
    <cfRule type="cellIs" dxfId="6821" priority="241" stopIfTrue="1" operator="equal">
      <formula>"INPUT STARTER IN COLUMN D"</formula>
    </cfRule>
  </conditionalFormatting>
  <conditionalFormatting sqref="P116">
    <cfRule type="cellIs" dxfId="6820" priority="240" stopIfTrue="1" operator="equal">
      <formula>"INPUT STARTER IN COLUMN D"</formula>
    </cfRule>
  </conditionalFormatting>
  <conditionalFormatting sqref="P117">
    <cfRule type="cellIs" dxfId="6819" priority="239" stopIfTrue="1" operator="equal">
      <formula>"INPUT STARTER IN COLUMN D"</formula>
    </cfRule>
  </conditionalFormatting>
  <conditionalFormatting sqref="P118">
    <cfRule type="cellIs" dxfId="6818" priority="238" stopIfTrue="1" operator="equal">
      <formula>"INPUT STARTER IN COLUMN D"</formula>
    </cfRule>
  </conditionalFormatting>
  <conditionalFormatting sqref="P119">
    <cfRule type="cellIs" dxfId="6817" priority="237" stopIfTrue="1" operator="equal">
      <formula>"INPUT STARTER IN COLUMN D"</formula>
    </cfRule>
  </conditionalFormatting>
  <conditionalFormatting sqref="P120">
    <cfRule type="cellIs" dxfId="6816" priority="236" stopIfTrue="1" operator="equal">
      <formula>"INPUT STARTER IN COLUMN D"</formula>
    </cfRule>
  </conditionalFormatting>
  <conditionalFormatting sqref="P121">
    <cfRule type="cellIs" dxfId="6815" priority="235" stopIfTrue="1" operator="equal">
      <formula>"INPUT STARTER IN COLUMN D"</formula>
    </cfRule>
  </conditionalFormatting>
  <conditionalFormatting sqref="P122">
    <cfRule type="cellIs" dxfId="6814" priority="234" stopIfTrue="1" operator="equal">
      <formula>"INPUT STARTER IN COLUMN D"</formula>
    </cfRule>
  </conditionalFormatting>
  <conditionalFormatting sqref="P123">
    <cfRule type="cellIs" dxfId="6813" priority="233" stopIfTrue="1" operator="equal">
      <formula>"INPUT STARTER IN COLUMN D"</formula>
    </cfRule>
  </conditionalFormatting>
  <conditionalFormatting sqref="P125">
    <cfRule type="cellIs" dxfId="6812" priority="232" stopIfTrue="1" operator="equal">
      <formula>"INPUT STARTER IN COLUMN D"</formula>
    </cfRule>
  </conditionalFormatting>
  <conditionalFormatting sqref="P126">
    <cfRule type="cellIs" dxfId="6811" priority="231" stopIfTrue="1" operator="equal">
      <formula>"INPUT STARTER IN COLUMN D"</formula>
    </cfRule>
  </conditionalFormatting>
  <conditionalFormatting sqref="P127">
    <cfRule type="cellIs" dxfId="6810" priority="230" stopIfTrue="1" operator="equal">
      <formula>"INPUT STARTER IN COLUMN D"</formula>
    </cfRule>
  </conditionalFormatting>
  <conditionalFormatting sqref="P128">
    <cfRule type="cellIs" dxfId="6809" priority="229" stopIfTrue="1" operator="equal">
      <formula>"INPUT STARTER IN COLUMN D"</formula>
    </cfRule>
  </conditionalFormatting>
  <conditionalFormatting sqref="P129">
    <cfRule type="cellIs" dxfId="6808" priority="228" stopIfTrue="1" operator="equal">
      <formula>"INPUT STARTER IN COLUMN D"</formula>
    </cfRule>
  </conditionalFormatting>
  <conditionalFormatting sqref="P130">
    <cfRule type="cellIs" dxfId="6807" priority="227" stopIfTrue="1" operator="equal">
      <formula>"INPUT STARTER IN COLUMN D"</formula>
    </cfRule>
  </conditionalFormatting>
  <conditionalFormatting sqref="P131">
    <cfRule type="cellIs" dxfId="6806" priority="226" stopIfTrue="1" operator="equal">
      <formula>"INPUT STARTER IN COLUMN D"</formula>
    </cfRule>
  </conditionalFormatting>
  <conditionalFormatting sqref="P132">
    <cfRule type="cellIs" dxfId="6805" priority="225" stopIfTrue="1" operator="equal">
      <formula>"INPUT STARTER IN COLUMN D"</formula>
    </cfRule>
  </conditionalFormatting>
  <conditionalFormatting sqref="P133">
    <cfRule type="cellIs" dxfId="6804" priority="224" stopIfTrue="1" operator="equal">
      <formula>"INPUT STARTER IN COLUMN D"</formula>
    </cfRule>
  </conditionalFormatting>
  <conditionalFormatting sqref="P134">
    <cfRule type="cellIs" dxfId="6803" priority="223" stopIfTrue="1" operator="equal">
      <formula>"INPUT STARTER IN COLUMN D"</formula>
    </cfRule>
  </conditionalFormatting>
  <conditionalFormatting sqref="P135">
    <cfRule type="cellIs" dxfId="6802" priority="222" stopIfTrue="1" operator="equal">
      <formula>"INPUT STARTER IN COLUMN D"</formula>
    </cfRule>
  </conditionalFormatting>
  <conditionalFormatting sqref="P136">
    <cfRule type="cellIs" dxfId="6801" priority="221" stopIfTrue="1" operator="equal">
      <formula>"INPUT STARTER IN COLUMN D"</formula>
    </cfRule>
  </conditionalFormatting>
  <conditionalFormatting sqref="P137">
    <cfRule type="cellIs" dxfId="6800" priority="220" stopIfTrue="1" operator="equal">
      <formula>"INPUT STARTER IN COLUMN D"</formula>
    </cfRule>
  </conditionalFormatting>
  <conditionalFormatting sqref="P139">
    <cfRule type="cellIs" dxfId="6799" priority="219" stopIfTrue="1" operator="equal">
      <formula>"INPUT STARTER IN COLUMN D"</formula>
    </cfRule>
  </conditionalFormatting>
  <conditionalFormatting sqref="P140">
    <cfRule type="cellIs" dxfId="6798" priority="218" stopIfTrue="1" operator="equal">
      <formula>"INPUT STARTER IN COLUMN D"</formula>
    </cfRule>
  </conditionalFormatting>
  <conditionalFormatting sqref="P141">
    <cfRule type="cellIs" dxfId="6797" priority="217" stopIfTrue="1" operator="equal">
      <formula>"INPUT STARTER IN COLUMN D"</formula>
    </cfRule>
  </conditionalFormatting>
  <conditionalFormatting sqref="P142">
    <cfRule type="cellIs" dxfId="6796" priority="216" stopIfTrue="1" operator="equal">
      <formula>"INPUT STARTER IN COLUMN D"</formula>
    </cfRule>
  </conditionalFormatting>
  <conditionalFormatting sqref="P143">
    <cfRule type="cellIs" dxfId="6795" priority="215" stopIfTrue="1" operator="equal">
      <formula>"INPUT STARTER IN COLUMN D"</formula>
    </cfRule>
  </conditionalFormatting>
  <conditionalFormatting sqref="P144">
    <cfRule type="cellIs" dxfId="6794" priority="214" stopIfTrue="1" operator="equal">
      <formula>"INPUT STARTER IN COLUMN D"</formula>
    </cfRule>
  </conditionalFormatting>
  <conditionalFormatting sqref="P145">
    <cfRule type="cellIs" dxfId="6793" priority="213" stopIfTrue="1" operator="equal">
      <formula>"INPUT STARTER IN COLUMN D"</formula>
    </cfRule>
  </conditionalFormatting>
  <conditionalFormatting sqref="P146">
    <cfRule type="cellIs" dxfId="6792" priority="212" stopIfTrue="1" operator="equal">
      <formula>"INPUT STARTER IN COLUMN D"</formula>
    </cfRule>
  </conditionalFormatting>
  <conditionalFormatting sqref="P147">
    <cfRule type="cellIs" dxfId="6791" priority="211" stopIfTrue="1" operator="equal">
      <formula>"INPUT STARTER IN COLUMN D"</formula>
    </cfRule>
  </conditionalFormatting>
  <conditionalFormatting sqref="P148">
    <cfRule type="cellIs" dxfId="6790" priority="210" stopIfTrue="1" operator="equal">
      <formula>"INPUT STARTER IN COLUMN D"</formula>
    </cfRule>
  </conditionalFormatting>
  <conditionalFormatting sqref="P149">
    <cfRule type="cellIs" dxfId="6789" priority="209" stopIfTrue="1" operator="equal">
      <formula>"INPUT STARTER IN COLUMN D"</formula>
    </cfRule>
  </conditionalFormatting>
  <conditionalFormatting sqref="P150">
    <cfRule type="cellIs" dxfId="6788" priority="208" stopIfTrue="1" operator="equal">
      <formula>"INPUT STARTER IN COLUMN D"</formula>
    </cfRule>
  </conditionalFormatting>
  <conditionalFormatting sqref="P151">
    <cfRule type="cellIs" dxfId="6787" priority="207" stopIfTrue="1" operator="equal">
      <formula>"INPUT STARTER IN COLUMN D"</formula>
    </cfRule>
  </conditionalFormatting>
  <conditionalFormatting sqref="P152">
    <cfRule type="cellIs" dxfId="6786" priority="206" stopIfTrue="1" operator="equal">
      <formula>"INPUT STARTER IN COLUMN D"</formula>
    </cfRule>
  </conditionalFormatting>
  <conditionalFormatting sqref="P153">
    <cfRule type="cellIs" dxfId="6785" priority="205" stopIfTrue="1" operator="equal">
      <formula>"INPUT STARTER IN COLUMN D"</formula>
    </cfRule>
  </conditionalFormatting>
  <conditionalFormatting sqref="P154">
    <cfRule type="cellIs" dxfId="6784" priority="204" stopIfTrue="1" operator="equal">
      <formula>"INPUT STARTER IN COLUMN D"</formula>
    </cfRule>
  </conditionalFormatting>
  <conditionalFormatting sqref="P155">
    <cfRule type="cellIs" dxfId="6783" priority="203" stopIfTrue="1" operator="equal">
      <formula>"INPUT STARTER IN COLUMN D"</formula>
    </cfRule>
  </conditionalFormatting>
  <conditionalFormatting sqref="P157">
    <cfRule type="cellIs" dxfId="6782" priority="202" stopIfTrue="1" operator="equal">
      <formula>"INPUT STARTER IN COLUMN D"</formula>
    </cfRule>
  </conditionalFormatting>
  <conditionalFormatting sqref="P158">
    <cfRule type="cellIs" dxfId="6781" priority="201" stopIfTrue="1" operator="equal">
      <formula>"INPUT STARTER IN COLUMN D"</formula>
    </cfRule>
  </conditionalFormatting>
  <conditionalFormatting sqref="P159">
    <cfRule type="cellIs" dxfId="6780" priority="200" stopIfTrue="1" operator="equal">
      <formula>"INPUT STARTER IN COLUMN D"</formula>
    </cfRule>
  </conditionalFormatting>
  <conditionalFormatting sqref="P160">
    <cfRule type="cellIs" dxfId="6779" priority="199" stopIfTrue="1" operator="equal">
      <formula>"INPUT STARTER IN COLUMN D"</formula>
    </cfRule>
  </conditionalFormatting>
  <conditionalFormatting sqref="P161">
    <cfRule type="cellIs" dxfId="6778" priority="198" stopIfTrue="1" operator="equal">
      <formula>"INPUT STARTER IN COLUMN D"</formula>
    </cfRule>
  </conditionalFormatting>
  <conditionalFormatting sqref="P162">
    <cfRule type="cellIs" dxfId="6777" priority="197" stopIfTrue="1" operator="equal">
      <formula>"INPUT STARTER IN COLUMN D"</formula>
    </cfRule>
  </conditionalFormatting>
  <conditionalFormatting sqref="P163">
    <cfRule type="cellIs" dxfId="6776" priority="196" stopIfTrue="1" operator="equal">
      <formula>"INPUT STARTER IN COLUMN D"</formula>
    </cfRule>
  </conditionalFormatting>
  <conditionalFormatting sqref="P165">
    <cfRule type="cellIs" dxfId="6775" priority="195" stopIfTrue="1" operator="equal">
      <formula>"INPUT STARTER IN COLUMN D"</formula>
    </cfRule>
  </conditionalFormatting>
  <conditionalFormatting sqref="P166">
    <cfRule type="cellIs" dxfId="6774" priority="194" stopIfTrue="1" operator="equal">
      <formula>"INPUT STARTER IN COLUMN D"</formula>
    </cfRule>
  </conditionalFormatting>
  <conditionalFormatting sqref="P167">
    <cfRule type="cellIs" dxfId="6773" priority="193" stopIfTrue="1" operator="equal">
      <formula>"INPUT STARTER IN COLUMN D"</formula>
    </cfRule>
  </conditionalFormatting>
  <conditionalFormatting sqref="P168">
    <cfRule type="cellIs" dxfId="6772" priority="192" stopIfTrue="1" operator="equal">
      <formula>"INPUT STARTER IN COLUMN D"</formula>
    </cfRule>
  </conditionalFormatting>
  <conditionalFormatting sqref="P169">
    <cfRule type="cellIs" dxfId="6771" priority="191" stopIfTrue="1" operator="equal">
      <formula>"INPUT STARTER IN COLUMN D"</formula>
    </cfRule>
  </conditionalFormatting>
  <conditionalFormatting sqref="P170">
    <cfRule type="cellIs" dxfId="6770" priority="190" stopIfTrue="1" operator="equal">
      <formula>"INPUT STARTER IN COLUMN D"</formula>
    </cfRule>
  </conditionalFormatting>
  <conditionalFormatting sqref="P171">
    <cfRule type="cellIs" dxfId="6769" priority="189" stopIfTrue="1" operator="equal">
      <formula>"INPUT STARTER IN COLUMN D"</formula>
    </cfRule>
  </conditionalFormatting>
  <conditionalFormatting sqref="P172">
    <cfRule type="cellIs" dxfId="6768" priority="188" stopIfTrue="1" operator="equal">
      <formula>"INPUT STARTER IN COLUMN D"</formula>
    </cfRule>
  </conditionalFormatting>
  <conditionalFormatting sqref="P173">
    <cfRule type="cellIs" dxfId="6767" priority="187" stopIfTrue="1" operator="equal">
      <formula>"INPUT STARTER IN COLUMN D"</formula>
    </cfRule>
  </conditionalFormatting>
  <conditionalFormatting sqref="P174">
    <cfRule type="cellIs" dxfId="6766" priority="186" stopIfTrue="1" operator="equal">
      <formula>"INPUT STARTER IN COLUMN D"</formula>
    </cfRule>
  </conditionalFormatting>
  <conditionalFormatting sqref="P176">
    <cfRule type="cellIs" dxfId="6765" priority="185" stopIfTrue="1" operator="equal">
      <formula>"INPUT STARTER IN COLUMN D"</formula>
    </cfRule>
  </conditionalFormatting>
  <conditionalFormatting sqref="P177">
    <cfRule type="cellIs" dxfId="6764" priority="184" stopIfTrue="1" operator="equal">
      <formula>"INPUT STARTER IN COLUMN D"</formula>
    </cfRule>
  </conditionalFormatting>
  <conditionalFormatting sqref="P178">
    <cfRule type="cellIs" dxfId="6763" priority="183" stopIfTrue="1" operator="equal">
      <formula>"INPUT STARTER IN COLUMN D"</formula>
    </cfRule>
  </conditionalFormatting>
  <conditionalFormatting sqref="P179">
    <cfRule type="cellIs" dxfId="6762" priority="182" stopIfTrue="1" operator="equal">
      <formula>"INPUT STARTER IN COLUMN D"</formula>
    </cfRule>
  </conditionalFormatting>
  <conditionalFormatting sqref="P180">
    <cfRule type="cellIs" dxfId="6761" priority="181" stopIfTrue="1" operator="equal">
      <formula>"INPUT STARTER IN COLUMN D"</formula>
    </cfRule>
  </conditionalFormatting>
  <conditionalFormatting sqref="P181">
    <cfRule type="cellIs" dxfId="6760" priority="180" stopIfTrue="1" operator="equal">
      <formula>"INPUT STARTER IN COLUMN D"</formula>
    </cfRule>
  </conditionalFormatting>
  <conditionalFormatting sqref="P182">
    <cfRule type="cellIs" dxfId="6759" priority="179" stopIfTrue="1" operator="equal">
      <formula>"INPUT STARTER IN COLUMN D"</formula>
    </cfRule>
  </conditionalFormatting>
  <conditionalFormatting sqref="P183">
    <cfRule type="cellIs" dxfId="6758" priority="178" stopIfTrue="1" operator="equal">
      <formula>"INPUT STARTER IN COLUMN D"</formula>
    </cfRule>
  </conditionalFormatting>
  <conditionalFormatting sqref="P184">
    <cfRule type="cellIs" dxfId="6757" priority="177" stopIfTrue="1" operator="equal">
      <formula>"INPUT STARTER IN COLUMN D"</formula>
    </cfRule>
  </conditionalFormatting>
  <conditionalFormatting sqref="P185">
    <cfRule type="cellIs" dxfId="6756" priority="176" stopIfTrue="1" operator="equal">
      <formula>"INPUT STARTER IN COLUMN D"</formula>
    </cfRule>
  </conditionalFormatting>
  <conditionalFormatting sqref="AK3:AK22">
    <cfRule type="cellIs" dxfId="6755" priority="175" stopIfTrue="1" operator="equal">
      <formula>"must average at least 5 innings per start"</formula>
    </cfRule>
  </conditionalFormatting>
  <conditionalFormatting sqref="AK23">
    <cfRule type="cellIs" dxfId="6754" priority="174" stopIfTrue="1" operator="equal">
      <formula>"must have 162 starts"</formula>
    </cfRule>
  </conditionalFormatting>
  <conditionalFormatting sqref="AH3:AH22">
    <cfRule type="cellIs" dxfId="6753" priority="173" stopIfTrue="1" operator="equal">
      <formula>"must average at least 5 innings per start"</formula>
    </cfRule>
  </conditionalFormatting>
  <conditionalFormatting sqref="AH23">
    <cfRule type="cellIs" dxfId="6752" priority="172" stopIfTrue="1" operator="equal">
      <formula>"must have 162 starts"</formula>
    </cfRule>
  </conditionalFormatting>
  <conditionalFormatting sqref="AG3:AG22">
    <cfRule type="cellIs" dxfId="6751" priority="171" stopIfTrue="1" operator="equal">
      <formula>"must average at least 5 innings per start"</formula>
    </cfRule>
  </conditionalFormatting>
  <conditionalFormatting sqref="AG23">
    <cfRule type="cellIs" dxfId="6750" priority="170" stopIfTrue="1" operator="equal">
      <formula>"must have 162 starts"</formula>
    </cfRule>
  </conditionalFormatting>
  <conditionalFormatting sqref="AK3:AK22">
    <cfRule type="cellIs" dxfId="6749" priority="169" stopIfTrue="1" operator="equal">
      <formula>"must average at least 5 innings per start"</formula>
    </cfRule>
  </conditionalFormatting>
  <conditionalFormatting sqref="AK23">
    <cfRule type="cellIs" dxfId="6748" priority="168" stopIfTrue="1" operator="equal">
      <formula>"must have 162 starts"</formula>
    </cfRule>
  </conditionalFormatting>
  <conditionalFormatting sqref="AH3:AH22">
    <cfRule type="cellIs" dxfId="6747" priority="167" stopIfTrue="1" operator="equal">
      <formula>"must average at least 5 innings per start"</formula>
    </cfRule>
  </conditionalFormatting>
  <conditionalFormatting sqref="AH23">
    <cfRule type="cellIs" dxfId="6746" priority="166" stopIfTrue="1" operator="equal">
      <formula>"must have 162 starts"</formula>
    </cfRule>
  </conditionalFormatting>
  <conditionalFormatting sqref="AG3:AG22">
    <cfRule type="cellIs" dxfId="6745" priority="165" stopIfTrue="1" operator="equal">
      <formula>"must average at least 5 innings per start"</formula>
    </cfRule>
  </conditionalFormatting>
  <conditionalFormatting sqref="AG23">
    <cfRule type="cellIs" dxfId="6744" priority="164" stopIfTrue="1" operator="equal">
      <formula>"must have 162 starts"</formula>
    </cfRule>
  </conditionalFormatting>
  <conditionalFormatting sqref="AK3:AK22">
    <cfRule type="cellIs" dxfId="6743" priority="163" stopIfTrue="1" operator="equal">
      <formula>"must average at least 5 innings per start"</formula>
    </cfRule>
  </conditionalFormatting>
  <conditionalFormatting sqref="AK23">
    <cfRule type="cellIs" dxfId="6742" priority="162" stopIfTrue="1" operator="equal">
      <formula>"must have 162 starts"</formula>
    </cfRule>
  </conditionalFormatting>
  <conditionalFormatting sqref="AH3:AH22">
    <cfRule type="cellIs" dxfId="6741" priority="161" stopIfTrue="1" operator="equal">
      <formula>"must average at least 5 innings per start"</formula>
    </cfRule>
  </conditionalFormatting>
  <conditionalFormatting sqref="AH23">
    <cfRule type="cellIs" dxfId="6740" priority="160" stopIfTrue="1" operator="equal">
      <formula>"must have 162 starts"</formula>
    </cfRule>
  </conditionalFormatting>
  <conditionalFormatting sqref="AG3:AG22">
    <cfRule type="cellIs" dxfId="6739" priority="159" stopIfTrue="1" operator="equal">
      <formula>"must average at least 5 innings per start"</formula>
    </cfRule>
  </conditionalFormatting>
  <conditionalFormatting sqref="AG23">
    <cfRule type="cellIs" dxfId="6738" priority="158" stopIfTrue="1" operator="equal">
      <formula>"must have 162 starts"</formula>
    </cfRule>
  </conditionalFormatting>
  <conditionalFormatting sqref="AK3:AK22">
    <cfRule type="cellIs" dxfId="6737" priority="157" stopIfTrue="1" operator="equal">
      <formula>"must average at least 5 innings per start"</formula>
    </cfRule>
  </conditionalFormatting>
  <conditionalFormatting sqref="AK23">
    <cfRule type="cellIs" dxfId="6736" priority="156" stopIfTrue="1" operator="equal">
      <formula>"must have 162 starts"</formula>
    </cfRule>
  </conditionalFormatting>
  <conditionalFormatting sqref="AH3:AH22">
    <cfRule type="cellIs" dxfId="6735" priority="155" stopIfTrue="1" operator="equal">
      <formula>"must average at least 5 innings per start"</formula>
    </cfRule>
  </conditionalFormatting>
  <conditionalFormatting sqref="AH23">
    <cfRule type="cellIs" dxfId="6734" priority="154" stopIfTrue="1" operator="equal">
      <formula>"must have 162 starts"</formula>
    </cfRule>
  </conditionalFormatting>
  <conditionalFormatting sqref="AG3:AG22">
    <cfRule type="cellIs" dxfId="6733" priority="153" stopIfTrue="1" operator="equal">
      <formula>"must average at least 5 innings per start"</formula>
    </cfRule>
  </conditionalFormatting>
  <conditionalFormatting sqref="AG23">
    <cfRule type="cellIs" dxfId="6732" priority="152" stopIfTrue="1" operator="equal">
      <formula>"must have 162 starts"</formula>
    </cfRule>
  </conditionalFormatting>
  <conditionalFormatting sqref="AK3:AK22">
    <cfRule type="cellIs" dxfId="6731" priority="151" stopIfTrue="1" operator="equal">
      <formula>"must average at least 5 innings per start"</formula>
    </cfRule>
  </conditionalFormatting>
  <conditionalFormatting sqref="AK23">
    <cfRule type="cellIs" dxfId="6730" priority="150" stopIfTrue="1" operator="equal">
      <formula>"must have 162 starts"</formula>
    </cfRule>
  </conditionalFormatting>
  <conditionalFormatting sqref="AH3:AH22">
    <cfRule type="cellIs" dxfId="6729" priority="149" stopIfTrue="1" operator="equal">
      <formula>"must average at least 5 innings per start"</formula>
    </cfRule>
  </conditionalFormatting>
  <conditionalFormatting sqref="AH23">
    <cfRule type="cellIs" dxfId="6728" priority="148" stopIfTrue="1" operator="equal">
      <formula>"must have 162 starts"</formula>
    </cfRule>
  </conditionalFormatting>
  <conditionalFormatting sqref="AG3:AG22">
    <cfRule type="cellIs" dxfId="6727" priority="147" stopIfTrue="1" operator="equal">
      <formula>"must average at least 5 innings per start"</formula>
    </cfRule>
  </conditionalFormatting>
  <conditionalFormatting sqref="AG23">
    <cfRule type="cellIs" dxfId="6726" priority="146" stopIfTrue="1" operator="equal">
      <formula>"must have 162 starts"</formula>
    </cfRule>
  </conditionalFormatting>
  <conditionalFormatting sqref="AK3:AK22">
    <cfRule type="cellIs" dxfId="6725" priority="145" stopIfTrue="1" operator="equal">
      <formula>"must average at least 5 innings per start"</formula>
    </cfRule>
  </conditionalFormatting>
  <conditionalFormatting sqref="AK23">
    <cfRule type="cellIs" dxfId="6724" priority="144" stopIfTrue="1" operator="equal">
      <formula>"must have 162 starts"</formula>
    </cfRule>
  </conditionalFormatting>
  <conditionalFormatting sqref="AH3:AH22">
    <cfRule type="cellIs" dxfId="6723" priority="143" stopIfTrue="1" operator="equal">
      <formula>"must average at least 5 innings per start"</formula>
    </cfRule>
  </conditionalFormatting>
  <conditionalFormatting sqref="AH23">
    <cfRule type="cellIs" dxfId="6722" priority="142" stopIfTrue="1" operator="equal">
      <formula>"must have 162 starts"</formula>
    </cfRule>
  </conditionalFormatting>
  <conditionalFormatting sqref="AG3:AG22">
    <cfRule type="cellIs" dxfId="6721" priority="141" stopIfTrue="1" operator="equal">
      <formula>"must average at least 5 innings per start"</formula>
    </cfRule>
  </conditionalFormatting>
  <conditionalFormatting sqref="AG23">
    <cfRule type="cellIs" dxfId="6720" priority="140" stopIfTrue="1" operator="equal">
      <formula>"must have 162 starts"</formula>
    </cfRule>
  </conditionalFormatting>
  <conditionalFormatting sqref="AK3:AK22">
    <cfRule type="cellIs" dxfId="6719" priority="139" stopIfTrue="1" operator="equal">
      <formula>"must average at least 5 innings per start"</formula>
    </cfRule>
  </conditionalFormatting>
  <conditionalFormatting sqref="AK23">
    <cfRule type="cellIs" dxfId="6718" priority="138" stopIfTrue="1" operator="equal">
      <formula>"must have 162 starts"</formula>
    </cfRule>
  </conditionalFormatting>
  <conditionalFormatting sqref="AH3:AH22">
    <cfRule type="cellIs" dxfId="6717" priority="137" stopIfTrue="1" operator="equal">
      <formula>"must average at least 5 innings per start"</formula>
    </cfRule>
  </conditionalFormatting>
  <conditionalFormatting sqref="AH23">
    <cfRule type="cellIs" dxfId="6716" priority="136" stopIfTrue="1" operator="equal">
      <formula>"must have 162 starts"</formula>
    </cfRule>
  </conditionalFormatting>
  <conditionalFormatting sqref="AG3:AG22">
    <cfRule type="cellIs" dxfId="6715" priority="135" stopIfTrue="1" operator="equal">
      <formula>"must average at least 5 innings per start"</formula>
    </cfRule>
  </conditionalFormatting>
  <conditionalFormatting sqref="AG23">
    <cfRule type="cellIs" dxfId="6714" priority="134" stopIfTrue="1" operator="equal">
      <formula>"must have 162 starts"</formula>
    </cfRule>
  </conditionalFormatting>
  <conditionalFormatting sqref="AK3:AK22">
    <cfRule type="cellIs" dxfId="6713" priority="133" stopIfTrue="1" operator="equal">
      <formula>"must average at least 5 innings per start"</formula>
    </cfRule>
  </conditionalFormatting>
  <conditionalFormatting sqref="AK23">
    <cfRule type="cellIs" dxfId="6712" priority="132" stopIfTrue="1" operator="equal">
      <formula>"must have 162 starts"</formula>
    </cfRule>
  </conditionalFormatting>
  <conditionalFormatting sqref="AH3:AH22">
    <cfRule type="cellIs" dxfId="6711" priority="131" stopIfTrue="1" operator="equal">
      <formula>"must average at least 5 innings per start"</formula>
    </cfRule>
  </conditionalFormatting>
  <conditionalFormatting sqref="AH23">
    <cfRule type="cellIs" dxfId="6710" priority="130" stopIfTrue="1" operator="equal">
      <formula>"must have 162 starts"</formula>
    </cfRule>
  </conditionalFormatting>
  <conditionalFormatting sqref="AG3:AG22">
    <cfRule type="cellIs" dxfId="6709" priority="129" stopIfTrue="1" operator="equal">
      <formula>"must average at least 5 innings per start"</formula>
    </cfRule>
  </conditionalFormatting>
  <conditionalFormatting sqref="AG23">
    <cfRule type="cellIs" dxfId="6708" priority="128" stopIfTrue="1" operator="equal">
      <formula>"must have 162 starts"</formula>
    </cfRule>
  </conditionalFormatting>
  <conditionalFormatting sqref="AK3:AK22">
    <cfRule type="cellIs" dxfId="6707" priority="127" stopIfTrue="1" operator="equal">
      <formula>"must average at least 5 innings per start"</formula>
    </cfRule>
  </conditionalFormatting>
  <conditionalFormatting sqref="AK23">
    <cfRule type="cellIs" dxfId="6706" priority="126" stopIfTrue="1" operator="equal">
      <formula>"must have 162 starts"</formula>
    </cfRule>
  </conditionalFormatting>
  <conditionalFormatting sqref="AH3:AH22">
    <cfRule type="cellIs" dxfId="6705" priority="125" stopIfTrue="1" operator="equal">
      <formula>"must average at least 5 innings per start"</formula>
    </cfRule>
  </conditionalFormatting>
  <conditionalFormatting sqref="AH23">
    <cfRule type="cellIs" dxfId="6704" priority="124" stopIfTrue="1" operator="equal">
      <formula>"must have 162 starts"</formula>
    </cfRule>
  </conditionalFormatting>
  <conditionalFormatting sqref="AG3:AG22">
    <cfRule type="cellIs" dxfId="6703" priority="123" stopIfTrue="1" operator="equal">
      <formula>"must average at least 5 innings per start"</formula>
    </cfRule>
  </conditionalFormatting>
  <conditionalFormatting sqref="AG23">
    <cfRule type="cellIs" dxfId="6702" priority="122" stopIfTrue="1" operator="equal">
      <formula>"must have 162 starts"</formula>
    </cfRule>
  </conditionalFormatting>
  <conditionalFormatting sqref="AK3:AK22">
    <cfRule type="cellIs" dxfId="6701" priority="121" stopIfTrue="1" operator="equal">
      <formula>"must average at least 5 innings per start"</formula>
    </cfRule>
  </conditionalFormatting>
  <conditionalFormatting sqref="AK23">
    <cfRule type="cellIs" dxfId="6700" priority="120" stopIfTrue="1" operator="equal">
      <formula>"must have 162 starts"</formula>
    </cfRule>
  </conditionalFormatting>
  <conditionalFormatting sqref="AH3:AH22">
    <cfRule type="cellIs" dxfId="6699" priority="119" stopIfTrue="1" operator="equal">
      <formula>"must average at least 5 innings per start"</formula>
    </cfRule>
  </conditionalFormatting>
  <conditionalFormatting sqref="AH23">
    <cfRule type="cellIs" dxfId="6698" priority="118" stopIfTrue="1" operator="equal">
      <formula>"must have 162 starts"</formula>
    </cfRule>
  </conditionalFormatting>
  <conditionalFormatting sqref="AG3:AG22">
    <cfRule type="cellIs" dxfId="6697" priority="117" stopIfTrue="1" operator="equal">
      <formula>"must average at least 5 innings per start"</formula>
    </cfRule>
  </conditionalFormatting>
  <conditionalFormatting sqref="AG23">
    <cfRule type="cellIs" dxfId="6696" priority="116" stopIfTrue="1" operator="equal">
      <formula>"must have 162 starts"</formula>
    </cfRule>
  </conditionalFormatting>
  <conditionalFormatting sqref="AK3:AK22">
    <cfRule type="cellIs" dxfId="6695" priority="115" stopIfTrue="1" operator="equal">
      <formula>"must average at least 5 innings per start"</formula>
    </cfRule>
  </conditionalFormatting>
  <conditionalFormatting sqref="AK23">
    <cfRule type="cellIs" dxfId="6694" priority="114" stopIfTrue="1" operator="equal">
      <formula>"must have 162 starts"</formula>
    </cfRule>
  </conditionalFormatting>
  <conditionalFormatting sqref="AH3:AH22">
    <cfRule type="cellIs" dxfId="6693" priority="113" stopIfTrue="1" operator="equal">
      <formula>"must average at least 5 innings per start"</formula>
    </cfRule>
  </conditionalFormatting>
  <conditionalFormatting sqref="AH23">
    <cfRule type="cellIs" dxfId="6692" priority="112" stopIfTrue="1" operator="equal">
      <formula>"must have 162 starts"</formula>
    </cfRule>
  </conditionalFormatting>
  <conditionalFormatting sqref="AG3:AG22">
    <cfRule type="cellIs" dxfId="6691" priority="111" stopIfTrue="1" operator="equal">
      <formula>"must average at least 5 innings per start"</formula>
    </cfRule>
  </conditionalFormatting>
  <conditionalFormatting sqref="AG23">
    <cfRule type="cellIs" dxfId="6690" priority="110" stopIfTrue="1" operator="equal">
      <formula>"must have 162 starts"</formula>
    </cfRule>
  </conditionalFormatting>
  <conditionalFormatting sqref="AK3:AK22">
    <cfRule type="cellIs" dxfId="6689" priority="109" stopIfTrue="1" operator="equal">
      <formula>"must average at least 5 innings per start"</formula>
    </cfRule>
  </conditionalFormatting>
  <conditionalFormatting sqref="AK23">
    <cfRule type="cellIs" dxfId="6688" priority="108" stopIfTrue="1" operator="equal">
      <formula>"must have 162 starts"</formula>
    </cfRule>
  </conditionalFormatting>
  <conditionalFormatting sqref="AH3:AH22">
    <cfRule type="cellIs" dxfId="6687" priority="107" stopIfTrue="1" operator="equal">
      <formula>"must average at least 5 innings per start"</formula>
    </cfRule>
  </conditionalFormatting>
  <conditionalFormatting sqref="AH23">
    <cfRule type="cellIs" dxfId="6686" priority="106" stopIfTrue="1" operator="equal">
      <formula>"must have 162 starts"</formula>
    </cfRule>
  </conditionalFormatting>
  <conditionalFormatting sqref="AG3:AG22">
    <cfRule type="cellIs" dxfId="6685" priority="105" stopIfTrue="1" operator="equal">
      <formula>"must average at least 5 innings per start"</formula>
    </cfRule>
  </conditionalFormatting>
  <conditionalFormatting sqref="AG23">
    <cfRule type="cellIs" dxfId="6684" priority="104" stopIfTrue="1" operator="equal">
      <formula>"must have 162 starts"</formula>
    </cfRule>
  </conditionalFormatting>
  <conditionalFormatting sqref="AG3:AG22">
    <cfRule type="cellIs" dxfId="6683" priority="103" stopIfTrue="1" operator="equal">
      <formula>"must average at least 5 innings per start"</formula>
    </cfRule>
  </conditionalFormatting>
  <conditionalFormatting sqref="AG23">
    <cfRule type="cellIs" dxfId="6682" priority="102" stopIfTrue="1" operator="equal">
      <formula>"must have 162 starts"</formula>
    </cfRule>
  </conditionalFormatting>
  <conditionalFormatting sqref="AK3:AK22">
    <cfRule type="cellIs" dxfId="6681" priority="101" stopIfTrue="1" operator="equal">
      <formula>"must average at least 5 innings per start"</formula>
    </cfRule>
  </conditionalFormatting>
  <conditionalFormatting sqref="AK23">
    <cfRule type="cellIs" dxfId="6680" priority="100" stopIfTrue="1" operator="equal">
      <formula>"must have 162 starts"</formula>
    </cfRule>
  </conditionalFormatting>
  <conditionalFormatting sqref="AK3:AK22">
    <cfRule type="cellIs" dxfId="6679" priority="99" stopIfTrue="1" operator="equal">
      <formula>"must average at least 5 innings per start"</formula>
    </cfRule>
  </conditionalFormatting>
  <conditionalFormatting sqref="AK23">
    <cfRule type="cellIs" dxfId="6678" priority="98" stopIfTrue="1" operator="equal">
      <formula>"must have 162 starts"</formula>
    </cfRule>
  </conditionalFormatting>
  <conditionalFormatting sqref="AK3:AK22">
    <cfRule type="cellIs" dxfId="6677" priority="97" stopIfTrue="1" operator="equal">
      <formula>"must average at least 5 innings per start"</formula>
    </cfRule>
  </conditionalFormatting>
  <conditionalFormatting sqref="AK23">
    <cfRule type="cellIs" dxfId="6676" priority="96" stopIfTrue="1" operator="equal">
      <formula>"must have 162 starts"</formula>
    </cfRule>
  </conditionalFormatting>
  <conditionalFormatting sqref="AK3:AK22">
    <cfRule type="cellIs" dxfId="6675" priority="95" stopIfTrue="1" operator="equal">
      <formula>"must average at least 5 innings per start"</formula>
    </cfRule>
  </conditionalFormatting>
  <conditionalFormatting sqref="AK23">
    <cfRule type="cellIs" dxfId="6674" priority="94" stopIfTrue="1" operator="equal">
      <formula>"must have 162 starts"</formula>
    </cfRule>
  </conditionalFormatting>
  <conditionalFormatting sqref="AK3:AK22">
    <cfRule type="cellIs" dxfId="6673" priority="93" stopIfTrue="1" operator="equal">
      <formula>"must average at least 5 innings per start"</formula>
    </cfRule>
  </conditionalFormatting>
  <conditionalFormatting sqref="AK23">
    <cfRule type="cellIs" dxfId="6672" priority="92" stopIfTrue="1" operator="equal">
      <formula>"must have 162 starts"</formula>
    </cfRule>
  </conditionalFormatting>
  <conditionalFormatting sqref="AK3:AK22">
    <cfRule type="cellIs" dxfId="6671" priority="91" stopIfTrue="1" operator="equal">
      <formula>"must average at least 5 innings per start"</formula>
    </cfRule>
  </conditionalFormatting>
  <conditionalFormatting sqref="AK23">
    <cfRule type="cellIs" dxfId="6670" priority="90" stopIfTrue="1" operator="equal">
      <formula>"must have 162 starts"</formula>
    </cfRule>
  </conditionalFormatting>
  <conditionalFormatting sqref="AK3:AK22">
    <cfRule type="cellIs" dxfId="6669" priority="89" stopIfTrue="1" operator="equal">
      <formula>"must average at least 5 innings per start"</formula>
    </cfRule>
  </conditionalFormatting>
  <conditionalFormatting sqref="AK23">
    <cfRule type="cellIs" dxfId="6668" priority="88" stopIfTrue="1" operator="equal">
      <formula>"must have 162 starts"</formula>
    </cfRule>
  </conditionalFormatting>
  <conditionalFormatting sqref="AH3:AH22">
    <cfRule type="cellIs" dxfId="6667" priority="87" stopIfTrue="1" operator="equal">
      <formula>"must average at least 5 innings per start"</formula>
    </cfRule>
  </conditionalFormatting>
  <conditionalFormatting sqref="AH23">
    <cfRule type="cellIs" dxfId="6666" priority="86" stopIfTrue="1" operator="equal">
      <formula>"must have 162 starts"</formula>
    </cfRule>
  </conditionalFormatting>
  <conditionalFormatting sqref="AG3:AG22">
    <cfRule type="cellIs" dxfId="6665" priority="85" stopIfTrue="1" operator="equal">
      <formula>"must average at least 5 innings per start"</formula>
    </cfRule>
  </conditionalFormatting>
  <conditionalFormatting sqref="AG23">
    <cfRule type="cellIs" dxfId="6664" priority="84" stopIfTrue="1" operator="equal">
      <formula>"must have 162 starts"</formula>
    </cfRule>
  </conditionalFormatting>
  <conditionalFormatting sqref="AK3:AK22">
    <cfRule type="cellIs" dxfId="6663" priority="83" stopIfTrue="1" operator="equal">
      <formula>"must average at least 5 innings per start"</formula>
    </cfRule>
  </conditionalFormatting>
  <conditionalFormatting sqref="AK23">
    <cfRule type="cellIs" dxfId="6662" priority="82" stopIfTrue="1" operator="equal">
      <formula>"must have 162 starts"</formula>
    </cfRule>
  </conditionalFormatting>
  <conditionalFormatting sqref="AK3:AK22">
    <cfRule type="cellIs" dxfId="6661" priority="81" stopIfTrue="1" operator="equal">
      <formula>"must average at least 5 innings per start"</formula>
    </cfRule>
  </conditionalFormatting>
  <conditionalFormatting sqref="AK23">
    <cfRule type="cellIs" dxfId="6660" priority="80" stopIfTrue="1" operator="equal">
      <formula>"must have 162 starts"</formula>
    </cfRule>
  </conditionalFormatting>
  <conditionalFormatting sqref="AK3:AK22">
    <cfRule type="cellIs" dxfId="6659" priority="79" stopIfTrue="1" operator="equal">
      <formula>"must average at least 5 innings per start"</formula>
    </cfRule>
  </conditionalFormatting>
  <conditionalFormatting sqref="AK23">
    <cfRule type="cellIs" dxfId="6658" priority="78" stopIfTrue="1" operator="equal">
      <formula>"must have 162 starts"</formula>
    </cfRule>
  </conditionalFormatting>
  <conditionalFormatting sqref="AK3:AK22">
    <cfRule type="cellIs" dxfId="6657" priority="77" stopIfTrue="1" operator="equal">
      <formula>"must average at least 5 innings per start"</formula>
    </cfRule>
  </conditionalFormatting>
  <conditionalFormatting sqref="AK23">
    <cfRule type="cellIs" dxfId="6656" priority="76" stopIfTrue="1" operator="equal">
      <formula>"must have 162 starts"</formula>
    </cfRule>
  </conditionalFormatting>
  <conditionalFormatting sqref="AK3:AK22">
    <cfRule type="cellIs" dxfId="6655" priority="75" stopIfTrue="1" operator="equal">
      <formula>"must average at least 5 innings per start"</formula>
    </cfRule>
  </conditionalFormatting>
  <conditionalFormatting sqref="AK23">
    <cfRule type="cellIs" dxfId="6654" priority="74" stopIfTrue="1" operator="equal">
      <formula>"must have 162 starts"</formula>
    </cfRule>
  </conditionalFormatting>
  <conditionalFormatting sqref="AK3:AK22">
    <cfRule type="cellIs" dxfId="6653" priority="73" stopIfTrue="1" operator="equal">
      <formula>"must average at least 5 innings per start"</formula>
    </cfRule>
  </conditionalFormatting>
  <conditionalFormatting sqref="AK23">
    <cfRule type="cellIs" dxfId="6652" priority="72" stopIfTrue="1" operator="equal">
      <formula>"must have 162 starts"</formula>
    </cfRule>
  </conditionalFormatting>
  <conditionalFormatting sqref="AK3:AK22">
    <cfRule type="cellIs" dxfId="6651" priority="71" stopIfTrue="1" operator="equal">
      <formula>"must average at least 5 innings per start"</formula>
    </cfRule>
  </conditionalFormatting>
  <conditionalFormatting sqref="AK23">
    <cfRule type="cellIs" dxfId="6650" priority="70" stopIfTrue="1" operator="equal">
      <formula>"must have 162 starts"</formula>
    </cfRule>
  </conditionalFormatting>
  <conditionalFormatting sqref="AK3:AK22">
    <cfRule type="cellIs" dxfId="6649" priority="69" stopIfTrue="1" operator="equal">
      <formula>"must average at least 5 innings per start"</formula>
    </cfRule>
  </conditionalFormatting>
  <conditionalFormatting sqref="AK23">
    <cfRule type="cellIs" dxfId="6648" priority="68" stopIfTrue="1" operator="equal">
      <formula>"must have 162 starts"</formula>
    </cfRule>
  </conditionalFormatting>
  <conditionalFormatting sqref="AG3:AG22">
    <cfRule type="cellIs" dxfId="6647" priority="67" stopIfTrue="1" operator="equal">
      <formula>"must average at least 5 innings per start"</formula>
    </cfRule>
  </conditionalFormatting>
  <conditionalFormatting sqref="AG23">
    <cfRule type="cellIs" dxfId="6646" priority="66" stopIfTrue="1" operator="equal">
      <formula>"must have 162 starts"</formula>
    </cfRule>
  </conditionalFormatting>
  <conditionalFormatting sqref="AK3:AK22">
    <cfRule type="cellIs" dxfId="6645" priority="65" stopIfTrue="1" operator="equal">
      <formula>"must average at least 5 innings per start"</formula>
    </cfRule>
  </conditionalFormatting>
  <conditionalFormatting sqref="AK23">
    <cfRule type="cellIs" dxfId="6644" priority="64" stopIfTrue="1" operator="equal">
      <formula>"must have 162 starts"</formula>
    </cfRule>
  </conditionalFormatting>
  <conditionalFormatting sqref="AK3:AK22">
    <cfRule type="cellIs" dxfId="6643" priority="63" stopIfTrue="1" operator="equal">
      <formula>"must average at least 5 innings per start"</formula>
    </cfRule>
  </conditionalFormatting>
  <conditionalFormatting sqref="AK23">
    <cfRule type="cellIs" dxfId="6642" priority="62" stopIfTrue="1" operator="equal">
      <formula>"must have 162 starts"</formula>
    </cfRule>
  </conditionalFormatting>
  <conditionalFormatting sqref="AK3:AK22">
    <cfRule type="cellIs" dxfId="6641" priority="61" stopIfTrue="1" operator="equal">
      <formula>"must average at least 5 innings per start"</formula>
    </cfRule>
  </conditionalFormatting>
  <conditionalFormatting sqref="AK23">
    <cfRule type="cellIs" dxfId="6640" priority="60" stopIfTrue="1" operator="equal">
      <formula>"must have 162 starts"</formula>
    </cfRule>
  </conditionalFormatting>
  <conditionalFormatting sqref="AK3:AK22">
    <cfRule type="cellIs" dxfId="6639" priority="59" stopIfTrue="1" operator="equal">
      <formula>"must average at least 5 innings per start"</formula>
    </cfRule>
  </conditionalFormatting>
  <conditionalFormatting sqref="AK23">
    <cfRule type="cellIs" dxfId="6638" priority="58" stopIfTrue="1" operator="equal">
      <formula>"must have 162 starts"</formula>
    </cfRule>
  </conditionalFormatting>
  <conditionalFormatting sqref="AK3:AK22">
    <cfRule type="cellIs" dxfId="6637" priority="57" stopIfTrue="1" operator="equal">
      <formula>"must average at least 5 innings per start"</formula>
    </cfRule>
  </conditionalFormatting>
  <conditionalFormatting sqref="AK23">
    <cfRule type="cellIs" dxfId="6636" priority="56" stopIfTrue="1" operator="equal">
      <formula>"must have 162 starts"</formula>
    </cfRule>
  </conditionalFormatting>
  <conditionalFormatting sqref="AK3:AK22">
    <cfRule type="cellIs" dxfId="6635" priority="55" stopIfTrue="1" operator="equal">
      <formula>"must average at least 5 innings per start"</formula>
    </cfRule>
  </conditionalFormatting>
  <conditionalFormatting sqref="AK23">
    <cfRule type="cellIs" dxfId="6634" priority="54" stopIfTrue="1" operator="equal">
      <formula>"must have 162 starts"</formula>
    </cfRule>
  </conditionalFormatting>
  <conditionalFormatting sqref="AK3:AK22">
    <cfRule type="cellIs" dxfId="6633" priority="53" stopIfTrue="1" operator="equal">
      <formula>"must average at least 5 innings per start"</formula>
    </cfRule>
  </conditionalFormatting>
  <conditionalFormatting sqref="AK23">
    <cfRule type="cellIs" dxfId="6632" priority="52" stopIfTrue="1" operator="equal">
      <formula>"must have 162 starts"</formula>
    </cfRule>
  </conditionalFormatting>
  <conditionalFormatting sqref="AG3:AG22">
    <cfRule type="cellIs" dxfId="6631" priority="51" stopIfTrue="1" operator="equal">
      <formula>"must average at least 5 innings per start"</formula>
    </cfRule>
  </conditionalFormatting>
  <conditionalFormatting sqref="AG23">
    <cfRule type="cellIs" dxfId="6630" priority="50" stopIfTrue="1" operator="equal">
      <formula>"must have 162 starts"</formula>
    </cfRule>
  </conditionalFormatting>
  <conditionalFormatting sqref="AK3:AK22">
    <cfRule type="cellIs" dxfId="6629" priority="49" stopIfTrue="1" operator="equal">
      <formula>"must average at least 5 innings per start"</formula>
    </cfRule>
  </conditionalFormatting>
  <conditionalFormatting sqref="AK23">
    <cfRule type="cellIs" dxfId="6628" priority="48" stopIfTrue="1" operator="equal">
      <formula>"must have 162 starts"</formula>
    </cfRule>
  </conditionalFormatting>
  <conditionalFormatting sqref="AK3:AK22">
    <cfRule type="cellIs" dxfId="6627" priority="47" stopIfTrue="1" operator="equal">
      <formula>"must average at least 5 innings per start"</formula>
    </cfRule>
  </conditionalFormatting>
  <conditionalFormatting sqref="AK23">
    <cfRule type="cellIs" dxfId="6626" priority="46" stopIfTrue="1" operator="equal">
      <formula>"must have 162 starts"</formula>
    </cfRule>
  </conditionalFormatting>
  <conditionalFormatting sqref="AK3:AK22">
    <cfRule type="cellIs" dxfId="6625" priority="45" stopIfTrue="1" operator="equal">
      <formula>"must average at least 5 innings per start"</formula>
    </cfRule>
  </conditionalFormatting>
  <conditionalFormatting sqref="AK23">
    <cfRule type="cellIs" dxfId="6624" priority="44" stopIfTrue="1" operator="equal">
      <formula>"must have 162 starts"</formula>
    </cfRule>
  </conditionalFormatting>
  <conditionalFormatting sqref="AK3:AK22">
    <cfRule type="cellIs" dxfId="6623" priority="43" stopIfTrue="1" operator="equal">
      <formula>"must average at least 5 innings per start"</formula>
    </cfRule>
  </conditionalFormatting>
  <conditionalFormatting sqref="AK23">
    <cfRule type="cellIs" dxfId="6622" priority="42" stopIfTrue="1" operator="equal">
      <formula>"must have 162 starts"</formula>
    </cfRule>
  </conditionalFormatting>
  <conditionalFormatting sqref="AK3:AK22">
    <cfRule type="cellIs" dxfId="6621" priority="41" stopIfTrue="1" operator="equal">
      <formula>"must average at least 5 innings per start"</formula>
    </cfRule>
  </conditionalFormatting>
  <conditionalFormatting sqref="AK23">
    <cfRule type="cellIs" dxfId="6620" priority="40" stopIfTrue="1" operator="equal">
      <formula>"must have 162 starts"</formula>
    </cfRule>
  </conditionalFormatting>
  <conditionalFormatting sqref="AK3:AK22">
    <cfRule type="cellIs" dxfId="6619" priority="39" stopIfTrue="1" operator="equal">
      <formula>"must average at least 5 innings per start"</formula>
    </cfRule>
  </conditionalFormatting>
  <conditionalFormatting sqref="AK23">
    <cfRule type="cellIs" dxfId="6618" priority="38" stopIfTrue="1" operator="equal">
      <formula>"must have 162 starts"</formula>
    </cfRule>
  </conditionalFormatting>
  <conditionalFormatting sqref="AG3:AG22">
    <cfRule type="cellIs" dxfId="6617" priority="37" stopIfTrue="1" operator="equal">
      <formula>"must average at least 5 innings per start"</formula>
    </cfRule>
  </conditionalFormatting>
  <conditionalFormatting sqref="AG23">
    <cfRule type="cellIs" dxfId="6616" priority="36" stopIfTrue="1" operator="equal">
      <formula>"must have 162 starts"</formula>
    </cfRule>
  </conditionalFormatting>
  <conditionalFormatting sqref="AK3:AK22">
    <cfRule type="cellIs" dxfId="6615" priority="35" stopIfTrue="1" operator="equal">
      <formula>"must average at least 5 innings per start"</formula>
    </cfRule>
  </conditionalFormatting>
  <conditionalFormatting sqref="AK23">
    <cfRule type="cellIs" dxfId="6614" priority="34" stopIfTrue="1" operator="equal">
      <formula>"must have 162 starts"</formula>
    </cfRule>
  </conditionalFormatting>
  <conditionalFormatting sqref="AK3:AK22">
    <cfRule type="cellIs" dxfId="6613" priority="33" stopIfTrue="1" operator="equal">
      <formula>"must average at least 5 innings per start"</formula>
    </cfRule>
  </conditionalFormatting>
  <conditionalFormatting sqref="AK23">
    <cfRule type="cellIs" dxfId="6612" priority="32" stopIfTrue="1" operator="equal">
      <formula>"must have 162 starts"</formula>
    </cfRule>
  </conditionalFormatting>
  <conditionalFormatting sqref="AK3:AK22">
    <cfRule type="cellIs" dxfId="6611" priority="31" stopIfTrue="1" operator="equal">
      <formula>"must average at least 5 innings per start"</formula>
    </cfRule>
  </conditionalFormatting>
  <conditionalFormatting sqref="AK23">
    <cfRule type="cellIs" dxfId="6610" priority="30" stopIfTrue="1" operator="equal">
      <formula>"must have 162 starts"</formula>
    </cfRule>
  </conditionalFormatting>
  <conditionalFormatting sqref="AK3:AK22">
    <cfRule type="cellIs" dxfId="6609" priority="29" stopIfTrue="1" operator="equal">
      <formula>"must average at least 5 innings per start"</formula>
    </cfRule>
  </conditionalFormatting>
  <conditionalFormatting sqref="AK23">
    <cfRule type="cellIs" dxfId="6608" priority="28" stopIfTrue="1" operator="equal">
      <formula>"must have 162 starts"</formula>
    </cfRule>
  </conditionalFormatting>
  <conditionalFormatting sqref="AK3:AK22">
    <cfRule type="cellIs" dxfId="6607" priority="27" stopIfTrue="1" operator="equal">
      <formula>"must average at least 5 innings per start"</formula>
    </cfRule>
  </conditionalFormatting>
  <conditionalFormatting sqref="AK23">
    <cfRule type="cellIs" dxfId="6606" priority="26" stopIfTrue="1" operator="equal">
      <formula>"must have 162 starts"</formula>
    </cfRule>
  </conditionalFormatting>
  <conditionalFormatting sqref="AG3:AG22">
    <cfRule type="cellIs" dxfId="6605" priority="25" stopIfTrue="1" operator="equal">
      <formula>"must average at least 5 innings per start"</formula>
    </cfRule>
  </conditionalFormatting>
  <conditionalFormatting sqref="AG23">
    <cfRule type="cellIs" dxfId="6604" priority="24" stopIfTrue="1" operator="equal">
      <formula>"must have 162 starts"</formula>
    </cfRule>
  </conditionalFormatting>
  <conditionalFormatting sqref="AK3:AK22">
    <cfRule type="cellIs" dxfId="6603" priority="23" stopIfTrue="1" operator="equal">
      <formula>"must average at least 5 innings per start"</formula>
    </cfRule>
  </conditionalFormatting>
  <conditionalFormatting sqref="AK23">
    <cfRule type="cellIs" dxfId="6602" priority="22" stopIfTrue="1" operator="equal">
      <formula>"must have 162 starts"</formula>
    </cfRule>
  </conditionalFormatting>
  <conditionalFormatting sqref="AK3:AK22">
    <cfRule type="cellIs" dxfId="6601" priority="21" stopIfTrue="1" operator="equal">
      <formula>"must average at least 5 innings per start"</formula>
    </cfRule>
  </conditionalFormatting>
  <conditionalFormatting sqref="AK23">
    <cfRule type="cellIs" dxfId="6600" priority="20" stopIfTrue="1" operator="equal">
      <formula>"must have 162 starts"</formula>
    </cfRule>
  </conditionalFormatting>
  <conditionalFormatting sqref="AK3:AK22">
    <cfRule type="cellIs" dxfId="6599" priority="19" stopIfTrue="1" operator="equal">
      <formula>"must average at least 5 innings per start"</formula>
    </cfRule>
  </conditionalFormatting>
  <conditionalFormatting sqref="AK23">
    <cfRule type="cellIs" dxfId="6598" priority="18" stopIfTrue="1" operator="equal">
      <formula>"must have 162 starts"</formula>
    </cfRule>
  </conditionalFormatting>
  <conditionalFormatting sqref="AK3:AK22">
    <cfRule type="cellIs" dxfId="6597" priority="17" stopIfTrue="1" operator="equal">
      <formula>"must average at least 5 innings per start"</formula>
    </cfRule>
  </conditionalFormatting>
  <conditionalFormatting sqref="AK23">
    <cfRule type="cellIs" dxfId="6596" priority="16" stopIfTrue="1" operator="equal">
      <formula>"must have 162 starts"</formula>
    </cfRule>
  </conditionalFormatting>
  <conditionalFormatting sqref="AG3:AG22">
    <cfRule type="cellIs" dxfId="6595" priority="15" stopIfTrue="1" operator="equal">
      <formula>"must average at least 5 innings per start"</formula>
    </cfRule>
  </conditionalFormatting>
  <conditionalFormatting sqref="AG23">
    <cfRule type="cellIs" dxfId="6594" priority="14" stopIfTrue="1" operator="equal">
      <formula>"must have 162 starts"</formula>
    </cfRule>
  </conditionalFormatting>
  <conditionalFormatting sqref="AK3:AK22">
    <cfRule type="cellIs" dxfId="6593" priority="13" stopIfTrue="1" operator="equal">
      <formula>"must average at least 5 innings per start"</formula>
    </cfRule>
  </conditionalFormatting>
  <conditionalFormatting sqref="AK23">
    <cfRule type="cellIs" dxfId="6592" priority="12" stopIfTrue="1" operator="equal">
      <formula>"must have 162 starts"</formula>
    </cfRule>
  </conditionalFormatting>
  <conditionalFormatting sqref="AK3:AK22">
    <cfRule type="cellIs" dxfId="6591" priority="11" stopIfTrue="1" operator="equal">
      <formula>"must average at least 5 innings per start"</formula>
    </cfRule>
  </conditionalFormatting>
  <conditionalFormatting sqref="AK23">
    <cfRule type="cellIs" dxfId="6590" priority="10" stopIfTrue="1" operator="equal">
      <formula>"must have 162 starts"</formula>
    </cfRule>
  </conditionalFormatting>
  <conditionalFormatting sqref="AK3:AK22">
    <cfRule type="cellIs" dxfId="6589" priority="9" stopIfTrue="1" operator="equal">
      <formula>"must average at least 5 innings per start"</formula>
    </cfRule>
  </conditionalFormatting>
  <conditionalFormatting sqref="AK23">
    <cfRule type="cellIs" dxfId="6588" priority="8" stopIfTrue="1" operator="equal">
      <formula>"must have 162 starts"</formula>
    </cfRule>
  </conditionalFormatting>
  <conditionalFormatting sqref="AG3:AG22">
    <cfRule type="cellIs" dxfId="6587" priority="7" stopIfTrue="1" operator="equal">
      <formula>"must average at least 5 innings per start"</formula>
    </cfRule>
  </conditionalFormatting>
  <conditionalFormatting sqref="AG23">
    <cfRule type="cellIs" dxfId="6586" priority="6" stopIfTrue="1" operator="equal">
      <formula>"must have 162 starts"</formula>
    </cfRule>
  </conditionalFormatting>
  <conditionalFormatting sqref="AK3:AK22">
    <cfRule type="cellIs" dxfId="6585" priority="5" stopIfTrue="1" operator="equal">
      <formula>"must average at least 5 innings per start"</formula>
    </cfRule>
  </conditionalFormatting>
  <conditionalFormatting sqref="AK23">
    <cfRule type="cellIs" dxfId="6584" priority="4" stopIfTrue="1" operator="equal">
      <formula>"must have 162 starts"</formula>
    </cfRule>
  </conditionalFormatting>
  <conditionalFormatting sqref="AG3:AG22">
    <cfRule type="cellIs" dxfId="6583" priority="3" stopIfTrue="1" operator="equal">
      <formula>"must average at least 5 innings per start"</formula>
    </cfRule>
  </conditionalFormatting>
  <conditionalFormatting sqref="AG23">
    <cfRule type="cellIs" dxfId="6582" priority="2" stopIfTrue="1" operator="equal">
      <formula>"must have 162 starts"</formula>
    </cfRule>
  </conditionalFormatting>
  <conditionalFormatting sqref="Q2">
    <cfRule type="cellIs" dxfId="6581" priority="1" stopIfTrue="1" operator="equal">
      <formula>"ROTATION FAILED"</formula>
    </cfRule>
  </conditionalFormatting>
  <printOptions gridLines="1" gridLinesSet="0"/>
  <pageMargins left="0.75" right="0.75" top="1" bottom="1" header="0.5" footer="0.5"/>
  <pageSetup orientation="portrait" r:id="rId1"/>
  <headerFooter alignWithMargins="0">
    <oddHeader>&amp;A</oddHeader>
  </headerFooter>
  <webPublishItems count="3">
    <webPublishItem id="17392" divId="ROTcheck_17392" sourceType="sheet" destinationFile="C:\1kading\schedule\skedpom.html"/>
    <webPublishItem id="20741" divId="ROTcheck_20741" sourceType="range" sourceRef="A1:O193" destinationFile="C:\1kading\schedule\skedpom.html"/>
    <webPublishItem id="31302" divId="ROTcheck_31302" sourceType="range" sourceRef="A156:O185" destinationFile="C:\1kading\schedule\skedpom.html"/>
  </webPublishItems>
</worksheet>
</file>

<file path=xl/worksheets/sheet9.xml><?xml version="1.0" encoding="utf-8"?>
<worksheet xmlns="http://schemas.openxmlformats.org/spreadsheetml/2006/main" xmlns:r="http://schemas.openxmlformats.org/officeDocument/2006/relationships">
  <dimension ref="A1:AJ217"/>
  <sheetViews>
    <sheetView zoomScale="75" workbookViewId="0">
      <selection activeCell="C160" sqref="C160"/>
    </sheetView>
  </sheetViews>
  <sheetFormatPr defaultRowHeight="11.25"/>
  <cols>
    <col min="1" max="1" width="6.5703125" style="2" customWidth="1"/>
    <col min="2" max="2" width="3.7109375" style="2" customWidth="1"/>
    <col min="3" max="3" width="6" style="2" customWidth="1"/>
    <col min="4" max="4" width="27.85546875" style="2" customWidth="1"/>
    <col min="5" max="6" width="3.7109375" style="2" customWidth="1"/>
    <col min="7" max="9" width="3.7109375" style="3" customWidth="1"/>
    <col min="10" max="10" width="14.5703125" style="4" customWidth="1"/>
    <col min="11" max="11" width="3.85546875" style="4" customWidth="1"/>
    <col min="12" max="12" width="3.7109375" style="5" customWidth="1"/>
    <col min="13" max="15" width="3.7109375" style="3" customWidth="1"/>
    <col min="16" max="16" width="20.5703125" style="2" customWidth="1"/>
    <col min="17" max="17" width="34.7109375" style="2" customWidth="1"/>
    <col min="18" max="18" width="5.140625" style="2" customWidth="1"/>
    <col min="19" max="19" width="22.140625" style="2" customWidth="1"/>
    <col min="20" max="20" width="10.5703125" style="2" customWidth="1"/>
    <col min="21" max="21" width="3.7109375" style="2" customWidth="1"/>
    <col min="22" max="22" width="4" style="2" customWidth="1"/>
    <col min="23" max="24" width="5" style="2" customWidth="1"/>
    <col min="25" max="27" width="5" style="2" hidden="1" customWidth="1"/>
    <col min="28" max="29" width="5" style="2" customWidth="1"/>
    <col min="30" max="30" width="3.7109375" style="2" customWidth="1"/>
    <col min="31" max="31" width="7.7109375" style="2" customWidth="1"/>
    <col min="32" max="32" width="8.28515625" style="2" customWidth="1"/>
    <col min="33" max="33" width="32.5703125" style="2" customWidth="1"/>
    <col min="34" max="34" width="9.140625" style="5"/>
    <col min="35" max="35" width="9.140625" style="2"/>
    <col min="36" max="36" width="7.85546875" style="6" customWidth="1"/>
    <col min="37" max="16384" width="9.140625" style="2"/>
  </cols>
  <sheetData>
    <row r="1" spans="1:36" ht="12.75">
      <c r="A1" s="39" t="s">
        <v>1919</v>
      </c>
      <c r="AJ1" s="42" t="str">
        <f ca="1">IF(AJ187=162,"GOOD","BAD")</f>
        <v>GOOD</v>
      </c>
    </row>
    <row r="2" spans="1:36" ht="18">
      <c r="A2" s="70" t="s">
        <v>11</v>
      </c>
      <c r="B2" s="70"/>
      <c r="C2" s="70" t="s">
        <v>10</v>
      </c>
      <c r="D2" s="67" t="s">
        <v>6</v>
      </c>
      <c r="E2" s="69" t="s">
        <v>72</v>
      </c>
      <c r="F2" s="69" t="s">
        <v>1189</v>
      </c>
      <c r="G2" s="69" t="s">
        <v>1187</v>
      </c>
      <c r="H2" s="69" t="s">
        <v>21</v>
      </c>
      <c r="I2" s="69" t="s">
        <v>79</v>
      </c>
      <c r="J2" s="69" t="s">
        <v>18</v>
      </c>
      <c r="K2" s="69" t="s">
        <v>72</v>
      </c>
      <c r="L2" s="69" t="s">
        <v>1189</v>
      </c>
      <c r="M2" s="69" t="s">
        <v>1187</v>
      </c>
      <c r="N2" s="69" t="s">
        <v>21</v>
      </c>
      <c r="O2" s="69" t="s">
        <v>79</v>
      </c>
      <c r="P2" s="71" t="s">
        <v>7</v>
      </c>
      <c r="Q2" s="18" t="str">
        <f>IF(P187+AE23+AH23=324,"ROTATION PASSED", "ROTATION FAILED")</f>
        <v>ROTATION FAILED</v>
      </c>
      <c r="R2" s="10" t="s">
        <v>8</v>
      </c>
      <c r="S2" s="71" t="s">
        <v>1190</v>
      </c>
      <c r="T2" s="66" t="s">
        <v>1188</v>
      </c>
      <c r="U2" s="66" t="s">
        <v>72</v>
      </c>
      <c r="V2" s="66"/>
      <c r="W2" s="66" t="s">
        <v>1189</v>
      </c>
      <c r="X2" s="66" t="s">
        <v>4</v>
      </c>
      <c r="Y2" s="66"/>
      <c r="Z2" s="66"/>
      <c r="AA2" s="66"/>
      <c r="AB2" s="66" t="s">
        <v>1187</v>
      </c>
      <c r="AC2" s="66" t="s">
        <v>21</v>
      </c>
      <c r="AD2" s="66" t="s">
        <v>79</v>
      </c>
      <c r="AE2" s="66" t="s">
        <v>0</v>
      </c>
      <c r="AF2" s="66" t="s">
        <v>1</v>
      </c>
      <c r="AG2" s="71" t="s">
        <v>7</v>
      </c>
    </row>
    <row r="3" spans="1:36" ht="12.75" customHeight="1">
      <c r="A3" s="6">
        <v>4.01</v>
      </c>
      <c r="B3" s="33"/>
      <c r="C3" s="33" t="s">
        <v>54</v>
      </c>
      <c r="D3" s="74"/>
      <c r="E3" s="75" t="str">
        <f>IF(ISERROR((VLOOKUP($D3,$S$3:$AE$22,3,FALSE))),"",(VLOOKUP($D3,$S$3:$AE$22,3,FALSE)))</f>
        <v/>
      </c>
      <c r="F3" s="75" t="str">
        <f>IF(ISERROR((VLOOKUP($D3,$S$3:$AE$22,5,FALSE))),"",(VLOOKUP($D3,$S$3:$AE$22,5,FALSE)))</f>
        <v/>
      </c>
      <c r="G3" s="75" t="str">
        <f>IF(ISERROR((VLOOKUP($D3,$S$3:$AE$22,10,FALSE))),"",(VLOOKUP($D3,$S$3:$AE$22,10,FALSE)))</f>
        <v/>
      </c>
      <c r="H3" s="75" t="str">
        <f>IF(ISERROR((VLOOKUP($D3,$S$3:$AE$22,11,FALSE))),"",(VLOOKUP($D3,$S$3:$AE$22,11,FALSE)))</f>
        <v/>
      </c>
      <c r="I3" s="75" t="str">
        <f>IF(ISERROR((VLOOKUP($D3,$S$3:$AE$22,12,FALSE))),"",(VLOOKUP($D3,$S$3:$AE$22,12,FALSE)))</f>
        <v/>
      </c>
      <c r="J3" s="74" t="str">
        <f ca="1">IF(INDIRECT(""&amp;$C3&amp;"!d"&amp;ROW(A3))="","",INDIRECT(""&amp;$C3&amp;"!d"&amp;ROW(A3)))</f>
        <v/>
      </c>
      <c r="K3" s="74" t="str">
        <f ca="1">INDIRECT(""&amp;$C3&amp;"!e3")</f>
        <v/>
      </c>
      <c r="L3" s="74" t="str">
        <f ca="1">INDIRECT(""&amp;$C3&amp;"!f3")</f>
        <v/>
      </c>
      <c r="M3" s="74" t="str">
        <f ca="1">INDIRECT(""&amp;$C3&amp;"!g3")</f>
        <v/>
      </c>
      <c r="N3" s="74" t="str">
        <f ca="1">INDIRECT(""&amp;$C3&amp;"!h3")</f>
        <v/>
      </c>
      <c r="O3" s="74" t="str">
        <f ca="1">INDIRECT(""&amp;$C3&amp;"!i3")</f>
        <v/>
      </c>
      <c r="P3" s="5" t="str">
        <f>IF(D3="","input starter in column D","ok")</f>
        <v>input starter in column D</v>
      </c>
      <c r="Q3" s="5" t="str">
        <f>IF(P3="not enough rest","input a DIFFERENT starter in column C","")</f>
        <v/>
      </c>
      <c r="R3" s="10">
        <v>1</v>
      </c>
      <c r="S3" s="78" t="s">
        <v>124</v>
      </c>
      <c r="T3" s="46" t="str">
        <f>IF(ISERROR((VLOOKUP(S3,Pitchers!$B$1:H$800,4,FALSE))),"",(VLOOKUP(S3,Pitchers!$B$1:H$800,4,FALSE)))</f>
        <v>CHC</v>
      </c>
      <c r="U3" s="45" t="str">
        <f>IF(ISERROR((VLOOKUP(S3,Pitchers!B$2:AA$795,10,FALSE))),"",(VLOOKUP(S3,Pitchers!B$2:AA$795,10,FALSE)))</f>
        <v>R</v>
      </c>
      <c r="V3" s="41"/>
      <c r="W3" s="46">
        <f>IF(ISERROR((VLOOKUP(S3,Pitchers!B$2:AA$795,13,FALSE))),"",(VLOOKUP(S3,Pitchers!B$2:AA$795,13,FALSE)))</f>
        <v>20</v>
      </c>
      <c r="X3" s="47">
        <f>IF(ISERROR((VLOOKUP(S3,Pitchers!B$2:AA$795,11,FALSE))),"",(VLOOKUP(S3,Pitchers!B$2:AA$795,11,FALSE)))</f>
        <v>229</v>
      </c>
      <c r="Y3" s="48"/>
      <c r="Z3" s="49">
        <v>16</v>
      </c>
      <c r="AA3" s="50">
        <v>11</v>
      </c>
      <c r="AB3" s="51" t="str">
        <f>IF(ISERROR((VLOOKUP(S3,Pitchers!B$2:AA$795,16,FALSE))),"",(VLOOKUP(S3,Pitchers!B$2:AA$795,16,FALSE)))</f>
        <v>XY</v>
      </c>
      <c r="AC3" s="52" t="str">
        <f>IF(ISERROR((VLOOKUP(S3,Pitchers!B$2:AA$795,17,FALSE))),"",(VLOOKUP(S3,Pitchers!B$2:AA$795,17,FALSE)))</f>
        <v>Z</v>
      </c>
      <c r="AD3" s="53" t="str">
        <f>IF(ISERROR((VLOOKUP(S3,Pitchers!B$2:AA$795,18,FALSE))),"",(VLOOKUP(S3,Pitchers!B$2:AA$795,18,FALSE)))</f>
        <v>G</v>
      </c>
      <c r="AE3" s="11">
        <f t="shared" ref="AE3:AE22" si="0">COUNTIF(D:D,S3)</f>
        <v>0</v>
      </c>
      <c r="AF3" s="12" t="str">
        <f t="shared" ref="AF3:AF22" si="1">IF(AE3&gt;0,X3/AE3,"")</f>
        <v/>
      </c>
      <c r="AG3" s="2" t="str">
        <f t="shared" ref="AG3:AG22" si="2">IF(AE3&gt;0,IF(AF3&lt;5,"must average at least 5 innings per start",""),"")</f>
        <v/>
      </c>
      <c r="AH3" s="5">
        <f>IF(AG3="must average at least 5 innings per start",500,0)</f>
        <v>0</v>
      </c>
      <c r="AJ3" s="33" t="str">
        <f t="shared" ref="AJ3:AJ66" ca="1" si="3">IF(ISERROR((INDIRECT(""&amp;$C3&amp;"!c"&amp;ROW(C3)))),"",(INDIRECT(""&amp;$C3&amp;"!c"&amp;ROW(C3))))</f>
        <v>GCW</v>
      </c>
    </row>
    <row r="4" spans="1:36" ht="12.75" customHeight="1">
      <c r="A4" s="6">
        <v>4.0199999999999996</v>
      </c>
      <c r="B4" s="33"/>
      <c r="C4" s="33" t="s">
        <v>54</v>
      </c>
      <c r="D4" s="74"/>
      <c r="E4" s="75" t="str">
        <f t="shared" ref="E4:E67" si="4">IF(ISERROR((VLOOKUP($D4,$S$3:$AE$22,3,FALSE))),"",(VLOOKUP($D4,$S$3:$AE$22,3,FALSE)))</f>
        <v/>
      </c>
      <c r="F4" s="75" t="str">
        <f t="shared" ref="F4:F67" si="5">IF(ISERROR((VLOOKUP($D4,$S$3:$AE$22,5,FALSE))),"",(VLOOKUP($D4,$S$3:$AE$22,5,FALSE)))</f>
        <v/>
      </c>
      <c r="G4" s="75" t="str">
        <f t="shared" ref="G4:G67" si="6">IF(ISERROR((VLOOKUP($D4,$S$3:$AE$22,10,FALSE))),"",(VLOOKUP($D4,$S$3:$AE$22,10,FALSE)))</f>
        <v/>
      </c>
      <c r="H4" s="75" t="str">
        <f t="shared" ref="H4:H67" si="7">IF(ISERROR((VLOOKUP($D4,$S$3:$AE$22,11,FALSE))),"",(VLOOKUP($D4,$S$3:$AE$22,11,FALSE)))</f>
        <v/>
      </c>
      <c r="I4" s="75" t="str">
        <f t="shared" ref="I4:I67" si="8">IF(ISERROR((VLOOKUP($D4,$S$3:$AE$22,12,FALSE))),"",(VLOOKUP($D4,$S$3:$AE$22,12,FALSE)))</f>
        <v/>
      </c>
      <c r="J4" s="74" t="str">
        <f t="shared" ref="J4:J67" ca="1" si="9">IF(INDIRECT(""&amp;$C4&amp;"!d"&amp;ROW(A4))="","",INDIRECT(""&amp;$C4&amp;"!d"&amp;ROW(A4)))</f>
        <v/>
      </c>
      <c r="K4" s="74" t="str">
        <f ca="1">INDIRECT(""&amp;$C4&amp;"!e4")</f>
        <v/>
      </c>
      <c r="L4" s="74" t="str">
        <f ca="1">INDIRECT(""&amp;$C4&amp;"!f4")</f>
        <v/>
      </c>
      <c r="M4" s="74" t="str">
        <f ca="1">INDIRECT(""&amp;$C4&amp;"!g4")</f>
        <v/>
      </c>
      <c r="N4" s="74" t="str">
        <f ca="1">INDIRECT(""&amp;$C4&amp;"!h4")</f>
        <v/>
      </c>
      <c r="O4" s="74" t="str">
        <f ca="1">INDIRECT(""&amp;$C4&amp;"!i4")</f>
        <v/>
      </c>
      <c r="P4" s="5" t="str">
        <f>IF(D4="","input starter in column D",IF(D4=D3,"not enough rest","ok"))</f>
        <v>input starter in column D</v>
      </c>
      <c r="Q4" s="5" t="str">
        <f>IF(P4="not enough rest","input a DIFFERENT starter in column C","")</f>
        <v/>
      </c>
      <c r="R4" s="10">
        <v>2</v>
      </c>
      <c r="S4" s="78" t="s">
        <v>187</v>
      </c>
      <c r="T4" s="46" t="str">
        <f>IF(ISERROR((VLOOKUP(S4,Pitchers!$B$1:H$800,4,FALSE))),"",(VLOOKUP(S4,Pitchers!$B$1:H$800,4,FALSE)))</f>
        <v>SFG</v>
      </c>
      <c r="U4" s="45" t="str">
        <f>IF(ISERROR((VLOOKUP(S4,Pitchers!B$2:AA$795,10,FALSE))),"",(VLOOKUP(S4,Pitchers!B$2:AA$795,10,FALSE)))</f>
        <v>L</v>
      </c>
      <c r="V4" s="41"/>
      <c r="W4" s="46">
        <f>IF(ISERROR((VLOOKUP(S4,Pitchers!B$2:AA$795,13,FALSE))),"",(VLOOKUP(S4,Pitchers!B$2:AA$795,13,FALSE)))</f>
        <v>13</v>
      </c>
      <c r="X4" s="47">
        <f>IF(ISERROR((VLOOKUP(S4,Pitchers!B$2:AA$795,11,FALSE))),"",(VLOOKUP(S4,Pitchers!B$2:AA$795,11,FALSE)))</f>
        <v>219</v>
      </c>
      <c r="Y4" s="48"/>
      <c r="Z4" s="49">
        <v>16</v>
      </c>
      <c r="AA4" s="50">
        <v>11</v>
      </c>
      <c r="AB4" s="51" t="str">
        <f>IF(ISERROR((VLOOKUP(S4,Pitchers!B$2:AA$795,16,FALSE))),"",(VLOOKUP(S4,Pitchers!B$2:AA$795,16,FALSE)))</f>
        <v>XY</v>
      </c>
      <c r="AC4" s="52" t="str">
        <f>IF(ISERROR((VLOOKUP(S4,Pitchers!B$2:AA$795,17,FALSE))),"",(VLOOKUP(S4,Pitchers!B$2:AA$795,17,FALSE)))</f>
        <v>Z</v>
      </c>
      <c r="AD4" s="53" t="str">
        <f>IF(ISERROR((VLOOKUP(S4,Pitchers!B$2:AA$795,18,FALSE))),"",(VLOOKUP(S4,Pitchers!B$2:AA$795,18,FALSE)))</f>
        <v xml:space="preserve"> </v>
      </c>
      <c r="AE4" s="11">
        <f t="shared" si="0"/>
        <v>0</v>
      </c>
      <c r="AF4" s="12" t="str">
        <f t="shared" si="1"/>
        <v/>
      </c>
      <c r="AG4" s="2" t="str">
        <f t="shared" si="2"/>
        <v/>
      </c>
      <c r="AH4" s="5">
        <f t="shared" ref="AH4:AH22" si="10">IF(AG4="must average at least 5 innings per start",500,0)</f>
        <v>0</v>
      </c>
      <c r="AJ4" s="33" t="str">
        <f t="shared" ca="1" si="3"/>
        <v>GCW</v>
      </c>
    </row>
    <row r="5" spans="1:36" ht="12.75" customHeight="1">
      <c r="A5" s="6">
        <v>4.03</v>
      </c>
      <c r="B5" s="33"/>
      <c r="C5" s="33" t="s">
        <v>54</v>
      </c>
      <c r="D5" s="74"/>
      <c r="E5" s="75" t="str">
        <f t="shared" si="4"/>
        <v/>
      </c>
      <c r="F5" s="75" t="str">
        <f t="shared" si="5"/>
        <v/>
      </c>
      <c r="G5" s="75" t="str">
        <f t="shared" si="6"/>
        <v/>
      </c>
      <c r="H5" s="75" t="str">
        <f t="shared" si="7"/>
        <v/>
      </c>
      <c r="I5" s="75" t="str">
        <f t="shared" si="8"/>
        <v/>
      </c>
      <c r="J5" s="74" t="str">
        <f t="shared" ca="1" si="9"/>
        <v/>
      </c>
      <c r="K5" s="74" t="str">
        <f ca="1">INDIRECT(""&amp;$C5&amp;"!e5")</f>
        <v/>
      </c>
      <c r="L5" s="74" t="str">
        <f ca="1">INDIRECT(""&amp;$C5&amp;"!f5")</f>
        <v/>
      </c>
      <c r="M5" s="74" t="str">
        <f ca="1">INDIRECT(""&amp;$C5&amp;"!g5")</f>
        <v/>
      </c>
      <c r="N5" s="74" t="str">
        <f ca="1">INDIRECT(""&amp;$C5&amp;"!h5")</f>
        <v/>
      </c>
      <c r="O5" s="74" t="str">
        <f ca="1">INDIRECT(""&amp;$C5&amp;"!i5")</f>
        <v/>
      </c>
      <c r="P5" s="5" t="str">
        <f>IF(D5="","input starter in column D",IF(D5=D4,"not enough rest",IF(D5=D3,"not enough rest","ok")))</f>
        <v>input starter in column D</v>
      </c>
      <c r="Q5" s="5" t="str">
        <f>IF(P5="not enough rest","input a DIFFERENT starter in column C","")</f>
        <v/>
      </c>
      <c r="R5" s="10">
        <v>3</v>
      </c>
      <c r="S5" s="78" t="s">
        <v>312</v>
      </c>
      <c r="T5" s="46" t="str">
        <f>IF(ISERROR((VLOOKUP(S5,Pitchers!$B$1:H$800,4,FALSE))),"",(VLOOKUP(S5,Pitchers!$B$1:H$800,4,FALSE)))</f>
        <v>TEX</v>
      </c>
      <c r="U5" s="45" t="str">
        <f>IF(ISERROR((VLOOKUP(S5,Pitchers!B$2:AA$795,10,FALSE))),"",(VLOOKUP(S5,Pitchers!B$2:AA$795,10,FALSE)))</f>
        <v>R</v>
      </c>
      <c r="V5" s="41"/>
      <c r="W5" s="46">
        <f>IF(ISERROR((VLOOKUP(S5,Pitchers!B$2:AA$795,13,FALSE))),"",(VLOOKUP(S5,Pitchers!B$2:AA$795,13,FALSE)))</f>
        <v>12</v>
      </c>
      <c r="X5" s="47">
        <f>IF(ISERROR((VLOOKUP(S5,Pitchers!B$2:AA$795,11,FALSE))),"",(VLOOKUP(S5,Pitchers!B$2:AA$795,11,FALSE)))</f>
        <v>185</v>
      </c>
      <c r="Y5" s="48"/>
      <c r="Z5" s="49">
        <v>16</v>
      </c>
      <c r="AA5" s="50">
        <v>11</v>
      </c>
      <c r="AB5" s="51" t="str">
        <f>IF(ISERROR((VLOOKUP(S5,Pitchers!B$2:AA$795,16,FALSE))),"",(VLOOKUP(S5,Pitchers!B$2:AA$795,16,FALSE)))</f>
        <v xml:space="preserve"> </v>
      </c>
      <c r="AC5" s="52" t="str">
        <f>IF(ISERROR((VLOOKUP(S5,Pitchers!B$2:AA$795,17,FALSE))),"",(VLOOKUP(S5,Pitchers!B$2:AA$795,17,FALSE)))</f>
        <v xml:space="preserve"> </v>
      </c>
      <c r="AD5" s="53" t="str">
        <f>IF(ISERROR((VLOOKUP(S5,Pitchers!B$2:AA$795,18,FALSE))),"",(VLOOKUP(S5,Pitchers!B$2:AA$795,18,FALSE)))</f>
        <v>G</v>
      </c>
      <c r="AE5" s="11">
        <f t="shared" si="0"/>
        <v>0</v>
      </c>
      <c r="AF5" s="12" t="str">
        <f t="shared" si="1"/>
        <v/>
      </c>
      <c r="AG5" s="2" t="str">
        <f t="shared" si="2"/>
        <v/>
      </c>
      <c r="AH5" s="5">
        <f t="shared" si="10"/>
        <v>0</v>
      </c>
      <c r="AJ5" s="33" t="str">
        <f t="shared" ca="1" si="3"/>
        <v>GCW</v>
      </c>
    </row>
    <row r="6" spans="1:36" ht="12.75" customHeight="1">
      <c r="A6" s="6">
        <v>4.04</v>
      </c>
      <c r="B6" s="33"/>
      <c r="C6" s="33" t="s">
        <v>54</v>
      </c>
      <c r="D6" s="74"/>
      <c r="E6" s="75" t="str">
        <f t="shared" si="4"/>
        <v/>
      </c>
      <c r="F6" s="75" t="str">
        <f t="shared" si="5"/>
        <v/>
      </c>
      <c r="G6" s="75" t="str">
        <f t="shared" si="6"/>
        <v/>
      </c>
      <c r="H6" s="75" t="str">
        <f t="shared" si="7"/>
        <v/>
      </c>
      <c r="I6" s="75" t="str">
        <f t="shared" si="8"/>
        <v/>
      </c>
      <c r="J6" s="74" t="str">
        <f t="shared" ca="1" si="9"/>
        <v/>
      </c>
      <c r="K6" s="74" t="str">
        <f ca="1">INDIRECT(""&amp;$C6&amp;"!e6")</f>
        <v/>
      </c>
      <c r="L6" s="74" t="str">
        <f ca="1">INDIRECT(""&amp;$C6&amp;"!f6")</f>
        <v/>
      </c>
      <c r="M6" s="74" t="str">
        <f ca="1">INDIRECT(""&amp;$C6&amp;"!g6")</f>
        <v/>
      </c>
      <c r="N6" s="74" t="str">
        <f ca="1">INDIRECT(""&amp;$C6&amp;"!h6")</f>
        <v/>
      </c>
      <c r="O6" s="74" t="str">
        <f ca="1">INDIRECT(""&amp;$C6&amp;"!i6")</f>
        <v/>
      </c>
      <c r="P6" s="5" t="str">
        <f>IF(D6="","input starter in column D",IF(D6=D5,"not enough rest",IF(D6=D4,"not enough rest",IF(D6=D3,"not enough rest","ok"))))</f>
        <v>input starter in column D</v>
      </c>
      <c r="Q6" s="5" t="str">
        <f>IF(P6="not enough rest","input a DIFFERENT starter in column C","")</f>
        <v/>
      </c>
      <c r="R6" s="10">
        <v>4</v>
      </c>
      <c r="S6" s="78" t="s">
        <v>114</v>
      </c>
      <c r="T6" s="46" t="str">
        <f>IF(ISERROR((VLOOKUP(S6,Pitchers!$B$1:H$800,4,FALSE))),"",(VLOOKUP(S6,Pitchers!$B$1:H$800,4,FALSE)))</f>
        <v>LAD</v>
      </c>
      <c r="U6" s="45" t="str">
        <f>IF(ISERROR((VLOOKUP(S6,Pitchers!B$2:AA$795,10,FALSE))),"",(VLOOKUP(S6,Pitchers!B$2:AA$795,10,FALSE)))</f>
        <v>L</v>
      </c>
      <c r="V6" s="41"/>
      <c r="W6" s="46">
        <f>IF(ISERROR((VLOOKUP(S6,Pitchers!B$2:AA$795,13,FALSE))),"",(VLOOKUP(S6,Pitchers!B$2:AA$795,13,FALSE)))</f>
        <v>9</v>
      </c>
      <c r="X6" s="47">
        <f>IF(ISERROR((VLOOKUP(S6,Pitchers!B$2:AA$795,11,FALSE))),"",(VLOOKUP(S6,Pitchers!B$2:AA$795,11,FALSE)))</f>
        <v>181</v>
      </c>
      <c r="Y6" s="48"/>
      <c r="Z6" s="49">
        <v>16</v>
      </c>
      <c r="AA6" s="50">
        <v>11</v>
      </c>
      <c r="AB6" s="51" t="str">
        <f>IF(ISERROR((VLOOKUP(S6,Pitchers!B$2:AA$795,16,FALSE))),"",(VLOOKUP(S6,Pitchers!B$2:AA$795,16,FALSE)))</f>
        <v xml:space="preserve"> </v>
      </c>
      <c r="AC6" s="52" t="str">
        <f>IF(ISERROR((VLOOKUP(S6,Pitchers!B$2:AA$795,17,FALSE))),"",(VLOOKUP(S6,Pitchers!B$2:AA$795,17,FALSE)))</f>
        <v xml:space="preserve"> </v>
      </c>
      <c r="AD6" s="53" t="str">
        <f>IF(ISERROR((VLOOKUP(S6,Pitchers!B$2:AA$795,18,FALSE))),"",(VLOOKUP(S6,Pitchers!B$2:AA$795,18,FALSE)))</f>
        <v xml:space="preserve"> </v>
      </c>
      <c r="AE6" s="11">
        <f t="shared" si="0"/>
        <v>0</v>
      </c>
      <c r="AF6" s="12" t="str">
        <f t="shared" si="1"/>
        <v/>
      </c>
      <c r="AG6" s="2" t="str">
        <f t="shared" si="2"/>
        <v/>
      </c>
      <c r="AH6" s="5">
        <f t="shared" si="10"/>
        <v>0</v>
      </c>
      <c r="AJ6" s="33" t="str">
        <f t="shared" ca="1" si="3"/>
        <v>GCW</v>
      </c>
    </row>
    <row r="7" spans="1:36" ht="12.75">
      <c r="A7" s="6">
        <v>4.05</v>
      </c>
      <c r="B7" s="32"/>
      <c r="C7" s="33"/>
      <c r="D7" s="74"/>
      <c r="E7" s="75"/>
      <c r="F7" s="75"/>
      <c r="G7" s="75"/>
      <c r="H7" s="75"/>
      <c r="I7" s="75"/>
      <c r="J7" s="74"/>
      <c r="K7" s="74"/>
      <c r="L7" s="74"/>
      <c r="M7" s="74"/>
      <c r="N7" s="74"/>
      <c r="O7" s="74"/>
      <c r="P7" s="1"/>
      <c r="Q7" s="1"/>
      <c r="R7" s="10"/>
      <c r="S7" s="78" t="s">
        <v>282</v>
      </c>
      <c r="T7" s="46" t="str">
        <f>IF(ISERROR((VLOOKUP(S7,Pitchers!$B$1:H$800,4,FALSE))),"",(VLOOKUP(S7,Pitchers!$B$1:H$800,4,FALSE)))</f>
        <v>NYY</v>
      </c>
      <c r="U7" s="45" t="str">
        <f>IF(ISERROR((VLOOKUP(S7,Pitchers!B$2:AA$795,10,FALSE))),"",(VLOOKUP(S7,Pitchers!B$2:AA$795,10,FALSE)))</f>
        <v>R</v>
      </c>
      <c r="V7" s="41"/>
      <c r="W7" s="46">
        <f>IF(ISERROR((VLOOKUP(S7,Pitchers!B$2:AA$795,13,FALSE))),"",(VLOOKUP(S7,Pitchers!B$2:AA$795,13,FALSE)))</f>
        <v>9</v>
      </c>
      <c r="X7" s="47">
        <f>IF(ISERROR((VLOOKUP(S7,Pitchers!B$2:AA$795,11,FALSE))),"",(VLOOKUP(S7,Pitchers!B$2:AA$795,11,FALSE)))</f>
        <v>155</v>
      </c>
      <c r="Y7" s="48"/>
      <c r="Z7" s="49"/>
      <c r="AA7" s="50"/>
      <c r="AB7" s="51" t="str">
        <f>IF(ISERROR((VLOOKUP(S7,Pitchers!B$2:AA$795,16,FALSE))),"",(VLOOKUP(S7,Pitchers!B$2:AA$795,16,FALSE)))</f>
        <v xml:space="preserve"> </v>
      </c>
      <c r="AC7" s="52" t="str">
        <f>IF(ISERROR((VLOOKUP(S7,Pitchers!B$2:AA$795,17,FALSE))),"",(VLOOKUP(S7,Pitchers!B$2:AA$795,17,FALSE)))</f>
        <v xml:space="preserve"> </v>
      </c>
      <c r="AD7" s="53" t="str">
        <f>IF(ISERROR((VLOOKUP(S7,Pitchers!B$2:AA$795,18,FALSE))),"",(VLOOKUP(S7,Pitchers!B$2:AA$795,18,FALSE)))</f>
        <v>G</v>
      </c>
      <c r="AE7" s="11">
        <f t="shared" si="0"/>
        <v>0</v>
      </c>
      <c r="AF7" s="12" t="str">
        <f t="shared" si="1"/>
        <v/>
      </c>
      <c r="AG7" s="2" t="str">
        <f t="shared" si="2"/>
        <v/>
      </c>
      <c r="AH7" s="5">
        <f t="shared" si="10"/>
        <v>0</v>
      </c>
      <c r="AJ7" s="33" t="str">
        <f t="shared" ca="1" si="3"/>
        <v/>
      </c>
    </row>
    <row r="8" spans="1:36" ht="12.75">
      <c r="A8" s="6">
        <v>4.0599999999999996</v>
      </c>
      <c r="B8" s="33"/>
      <c r="C8" s="33" t="s">
        <v>46</v>
      </c>
      <c r="D8" s="74"/>
      <c r="E8" s="75" t="str">
        <f t="shared" si="4"/>
        <v/>
      </c>
      <c r="F8" s="75" t="str">
        <f t="shared" si="5"/>
        <v/>
      </c>
      <c r="G8" s="75" t="str">
        <f t="shared" si="6"/>
        <v/>
      </c>
      <c r="H8" s="75" t="str">
        <f t="shared" si="7"/>
        <v/>
      </c>
      <c r="I8" s="75" t="str">
        <f t="shared" si="8"/>
        <v/>
      </c>
      <c r="J8" s="74" t="str">
        <f t="shared" ca="1" si="9"/>
        <v/>
      </c>
      <c r="K8" s="74" t="str">
        <f ca="1">INDIRECT(""&amp;$C8&amp;"!e8")</f>
        <v/>
      </c>
      <c r="L8" s="74" t="str">
        <f ca="1">INDIRECT(""&amp;$C8&amp;"!f8")</f>
        <v/>
      </c>
      <c r="M8" s="74" t="str">
        <f ca="1">INDIRECT(""&amp;$C8&amp;"!g8")</f>
        <v/>
      </c>
      <c r="N8" s="74" t="str">
        <f ca="1">INDIRECT(""&amp;$C8&amp;"!h8")</f>
        <v/>
      </c>
      <c r="O8" s="74" t="str">
        <f ca="1">INDIRECT(""&amp;$C8&amp;"!i8")</f>
        <v/>
      </c>
      <c r="P8" s="5" t="str">
        <f>IF(D8="","input starter in column D",IF(D8=D7,"not enough rest",IF(D8=D6,"not enough rest",(IF(D8=D5,"not enough rest",IF(D8=D4,"not enough rest","ok"))))))</f>
        <v>input starter in column D</v>
      </c>
      <c r="Q8" s="5" t="str">
        <f>IF(P8="not enough rest","input a DIFFERENT starter in column C","")</f>
        <v/>
      </c>
      <c r="R8" s="10">
        <v>1</v>
      </c>
      <c r="S8" s="78" t="s">
        <v>1179</v>
      </c>
      <c r="T8" s="46" t="str">
        <f>IF(ISERROR((VLOOKUP(S8,Pitchers!$B$1:H$800,4,FALSE))),"",(VLOOKUP(S8,Pitchers!$B$1:H$800,4,FALSE)))</f>
        <v>DET</v>
      </c>
      <c r="U8" s="45" t="str">
        <f>IF(ISERROR((VLOOKUP(S8,Pitchers!B$2:AA$795,10,FALSE))),"",(VLOOKUP(S8,Pitchers!B$2:AA$795,10,FALSE)))</f>
        <v>R</v>
      </c>
      <c r="V8" s="41"/>
      <c r="W8" s="46">
        <f>IF(ISERROR((VLOOKUP(S8,Pitchers!B$2:AA$795,13,FALSE))),"",(VLOOKUP(S8,Pitchers!B$2:AA$795,13,FALSE)))</f>
        <v>8</v>
      </c>
      <c r="X8" s="47">
        <f>IF(ISERROR((VLOOKUP(S8,Pitchers!B$2:AA$795,11,FALSE))),"",(VLOOKUP(S8,Pitchers!B$2:AA$795,11,FALSE)))</f>
        <v>5</v>
      </c>
      <c r="Y8" s="48"/>
      <c r="Z8" s="49">
        <v>16</v>
      </c>
      <c r="AA8" s="50">
        <v>11</v>
      </c>
      <c r="AB8" s="51" t="str">
        <f>IF(ISERROR((VLOOKUP(S8,Pitchers!B$2:AA$795,16,FALSE))),"",(VLOOKUP(S8,Pitchers!B$2:AA$795,16,FALSE)))</f>
        <v xml:space="preserve"> </v>
      </c>
      <c r="AC8" s="52" t="str">
        <f>IF(ISERROR((VLOOKUP(S8,Pitchers!B$2:AA$795,17,FALSE))),"",(VLOOKUP(S8,Pitchers!B$2:AA$795,17,FALSE)))</f>
        <v>Z</v>
      </c>
      <c r="AD8" s="53" t="str">
        <f>IF(ISERROR((VLOOKUP(S8,Pitchers!B$2:AA$795,18,FALSE))),"",(VLOOKUP(S8,Pitchers!B$2:AA$795,18,FALSE)))</f>
        <v>G</v>
      </c>
      <c r="AE8" s="11">
        <f t="shared" si="0"/>
        <v>0</v>
      </c>
      <c r="AF8" s="12" t="str">
        <f t="shared" si="1"/>
        <v/>
      </c>
      <c r="AG8" s="2" t="str">
        <f t="shared" si="2"/>
        <v/>
      </c>
      <c r="AH8" s="5">
        <f t="shared" si="10"/>
        <v>0</v>
      </c>
      <c r="AJ8" s="33" t="str">
        <f t="shared" ca="1" si="3"/>
        <v>GCW</v>
      </c>
    </row>
    <row r="9" spans="1:36" ht="12.75">
      <c r="A9" s="6">
        <v>4.07</v>
      </c>
      <c r="B9" s="33"/>
      <c r="C9" s="33" t="s">
        <v>46</v>
      </c>
      <c r="D9" s="74"/>
      <c r="E9" s="75" t="str">
        <f t="shared" si="4"/>
        <v/>
      </c>
      <c r="F9" s="75" t="str">
        <f t="shared" si="5"/>
        <v/>
      </c>
      <c r="G9" s="75" t="str">
        <f t="shared" si="6"/>
        <v/>
      </c>
      <c r="H9" s="75" t="str">
        <f t="shared" si="7"/>
        <v/>
      </c>
      <c r="I9" s="75" t="str">
        <f t="shared" si="8"/>
        <v/>
      </c>
      <c r="J9" s="74" t="str">
        <f t="shared" ca="1" si="9"/>
        <v/>
      </c>
      <c r="K9" s="74" t="str">
        <f ca="1">INDIRECT(""&amp;$C9&amp;"!e9")</f>
        <v/>
      </c>
      <c r="L9" s="74" t="str">
        <f ca="1">INDIRECT(""&amp;$C9&amp;"!f9")</f>
        <v/>
      </c>
      <c r="M9" s="74" t="str">
        <f ca="1">INDIRECT(""&amp;$C9&amp;"!g9")</f>
        <v/>
      </c>
      <c r="N9" s="74" t="str">
        <f ca="1">INDIRECT(""&amp;$C9&amp;"!h9")</f>
        <v/>
      </c>
      <c r="O9" s="74" t="str">
        <f ca="1">INDIRECT(""&amp;$C9&amp;"!i9")</f>
        <v/>
      </c>
      <c r="P9" s="5" t="str">
        <f>IF(D9="","input starter in column D",IF(D9=D8,"not enough rest",IF(D9=D7,"not enough rest",(IF(D9=D6,"not enough rest",IF(D9=D5,"not enough rest","ok"))))))</f>
        <v>input starter in column D</v>
      </c>
      <c r="Q9" s="5" t="str">
        <f>IF(P9="not enough rest","input a DIFFERENT starter in column C","")</f>
        <v/>
      </c>
      <c r="R9" s="10">
        <v>2</v>
      </c>
      <c r="S9" s="78" t="s">
        <v>1445</v>
      </c>
      <c r="T9" s="46" t="str">
        <f>IF(ISERROR((VLOOKUP(S9,Pitchers!$B$1:H$800,4,FALSE))),"",(VLOOKUP(S9,Pitchers!$B$1:H$800,4,FALSE)))</f>
        <v>CHC</v>
      </c>
      <c r="U9" s="45" t="str">
        <f>IF(ISERROR((VLOOKUP(S9,Pitchers!B$2:AA$795,10,FALSE))),"",(VLOOKUP(S9,Pitchers!B$2:AA$795,10,FALSE)))</f>
        <v>L</v>
      </c>
      <c r="V9" s="41"/>
      <c r="W9" s="46">
        <f>IF(ISERROR((VLOOKUP(S9,Pitchers!B$2:AA$795,13,FALSE))),"",(VLOOKUP(S9,Pitchers!B$2:AA$795,13,FALSE)))</f>
        <v>7</v>
      </c>
      <c r="X9" s="47">
        <f>IF(ISERROR((VLOOKUP(S9,Pitchers!B$2:AA$795,11,FALSE))),"",(VLOOKUP(S9,Pitchers!B$2:AA$795,11,FALSE)))</f>
        <v>32</v>
      </c>
      <c r="Y9" s="48"/>
      <c r="Z9" s="49">
        <v>16</v>
      </c>
      <c r="AA9" s="50">
        <v>11</v>
      </c>
      <c r="AB9" s="51" t="str">
        <f>IF(ISERROR((VLOOKUP(S9,Pitchers!B$2:AA$795,16,FALSE))),"",(VLOOKUP(S9,Pitchers!B$2:AA$795,16,FALSE)))</f>
        <v>X</v>
      </c>
      <c r="AC9" s="52" t="str">
        <f>IF(ISERROR((VLOOKUP(S9,Pitchers!B$2:AA$795,17,FALSE))),"",(VLOOKUP(S9,Pitchers!B$2:AA$795,17,FALSE)))</f>
        <v xml:space="preserve"> </v>
      </c>
      <c r="AD9" s="53" t="str">
        <f>IF(ISERROR((VLOOKUP(S9,Pitchers!B$2:AA$795,18,FALSE))),"",(VLOOKUP(S9,Pitchers!B$2:AA$795,18,FALSE)))</f>
        <v>L</v>
      </c>
      <c r="AE9" s="11">
        <f t="shared" si="0"/>
        <v>0</v>
      </c>
      <c r="AF9" s="12" t="str">
        <f t="shared" si="1"/>
        <v/>
      </c>
      <c r="AG9" s="2" t="str">
        <f t="shared" si="2"/>
        <v/>
      </c>
      <c r="AH9" s="5">
        <f t="shared" si="10"/>
        <v>0</v>
      </c>
      <c r="AJ9" s="33" t="str">
        <f t="shared" ca="1" si="3"/>
        <v>GCW</v>
      </c>
    </row>
    <row r="10" spans="1:36" ht="12.75">
      <c r="A10" s="6">
        <v>4.08</v>
      </c>
      <c r="B10" s="33"/>
      <c r="C10" s="33" t="s">
        <v>46</v>
      </c>
      <c r="D10" s="74"/>
      <c r="E10" s="75" t="str">
        <f t="shared" si="4"/>
        <v/>
      </c>
      <c r="F10" s="75" t="str">
        <f t="shared" si="5"/>
        <v/>
      </c>
      <c r="G10" s="75" t="str">
        <f t="shared" si="6"/>
        <v/>
      </c>
      <c r="H10" s="75" t="str">
        <f t="shared" si="7"/>
        <v/>
      </c>
      <c r="I10" s="75" t="str">
        <f t="shared" si="8"/>
        <v/>
      </c>
      <c r="J10" s="74" t="str">
        <f t="shared" ca="1" si="9"/>
        <v/>
      </c>
      <c r="K10" s="74" t="str">
        <f ca="1">INDIRECT(""&amp;$C10&amp;"!e10")</f>
        <v/>
      </c>
      <c r="L10" s="74" t="str">
        <f ca="1">INDIRECT(""&amp;$C10&amp;"!f10")</f>
        <v/>
      </c>
      <c r="M10" s="74" t="str">
        <f ca="1">INDIRECT(""&amp;$C10&amp;"!g10")</f>
        <v/>
      </c>
      <c r="N10" s="74" t="str">
        <f ca="1">INDIRECT(""&amp;$C10&amp;"!h10")</f>
        <v/>
      </c>
      <c r="O10" s="74" t="str">
        <f ca="1">INDIRECT(""&amp;$C10&amp;"!i10")</f>
        <v/>
      </c>
      <c r="P10" s="5" t="str">
        <f>IF(D10="","input starter in column D",IF(D10=D9,"not enough rest",IF(D10=D8,"not enough rest",(IF(D10=D7,"not enough rest",IF(D10=D6,"not enough rest","ok"))))))</f>
        <v>input starter in column D</v>
      </c>
      <c r="Q10" s="5" t="str">
        <f>IF(P10="not enough rest","input a DIFFERENT starter in column C","")</f>
        <v/>
      </c>
      <c r="R10" s="10">
        <v>3</v>
      </c>
      <c r="S10" s="78" t="s">
        <v>1448</v>
      </c>
      <c r="T10" s="46" t="str">
        <f>IF(ISERROR((VLOOKUP(S10,Pitchers!$B$1:H$800,4,FALSE))),"",(VLOOKUP(S10,Pitchers!$B$1:H$800,4,FALSE)))</f>
        <v>NYY</v>
      </c>
      <c r="U10" s="45" t="str">
        <f>IF(ISERROR((VLOOKUP(S10,Pitchers!B$2:AA$795,10,FALSE))),"",(VLOOKUP(S10,Pitchers!B$2:AA$795,10,FALSE)))</f>
        <v>R</v>
      </c>
      <c r="V10" s="41"/>
      <c r="W10" s="46">
        <f>IF(ISERROR((VLOOKUP(S10,Pitchers!B$2:AA$795,13,FALSE))),"",(VLOOKUP(S10,Pitchers!B$2:AA$795,13,FALSE)))</f>
        <v>4</v>
      </c>
      <c r="X10" s="47">
        <f>IF(ISERROR((VLOOKUP(S10,Pitchers!B$2:AA$795,11,FALSE))),"",(VLOOKUP(S10,Pitchers!B$2:AA$795,11,FALSE)))</f>
        <v>20</v>
      </c>
      <c r="Y10" s="48"/>
      <c r="Z10" s="49">
        <v>16</v>
      </c>
      <c r="AA10" s="50">
        <v>11</v>
      </c>
      <c r="AB10" s="51" t="str">
        <f>IF(ISERROR((VLOOKUP(S10,Pitchers!B$2:AA$795,16,FALSE))),"",(VLOOKUP(S10,Pitchers!B$2:AA$795,16,FALSE)))</f>
        <v>Y</v>
      </c>
      <c r="AC10" s="52" t="str">
        <f>IF(ISERROR((VLOOKUP(S10,Pitchers!B$2:AA$795,17,FALSE))),"",(VLOOKUP(S10,Pitchers!B$2:AA$795,17,FALSE)))</f>
        <v>Z</v>
      </c>
      <c r="AD10" s="53" t="str">
        <f>IF(ISERROR((VLOOKUP(S10,Pitchers!B$2:AA$795,18,FALSE))),"",(VLOOKUP(S10,Pitchers!B$2:AA$795,18,FALSE)))</f>
        <v>L</v>
      </c>
      <c r="AE10" s="11">
        <f t="shared" si="0"/>
        <v>0</v>
      </c>
      <c r="AF10" s="12" t="str">
        <f t="shared" si="1"/>
        <v/>
      </c>
      <c r="AG10" s="2" t="str">
        <f t="shared" si="2"/>
        <v/>
      </c>
      <c r="AH10" s="5">
        <f t="shared" si="10"/>
        <v>0</v>
      </c>
      <c r="AJ10" s="33" t="str">
        <f t="shared" ca="1" si="3"/>
        <v>GCW</v>
      </c>
    </row>
    <row r="11" spans="1:36" ht="12.75">
      <c r="A11" s="6">
        <v>4.09</v>
      </c>
      <c r="B11" s="33"/>
      <c r="C11" s="33" t="s">
        <v>46</v>
      </c>
      <c r="D11" s="74"/>
      <c r="E11" s="75" t="str">
        <f t="shared" si="4"/>
        <v/>
      </c>
      <c r="F11" s="75" t="str">
        <f t="shared" si="5"/>
        <v/>
      </c>
      <c r="G11" s="75" t="str">
        <f t="shared" si="6"/>
        <v/>
      </c>
      <c r="H11" s="75" t="str">
        <f t="shared" si="7"/>
        <v/>
      </c>
      <c r="I11" s="75" t="str">
        <f t="shared" si="8"/>
        <v/>
      </c>
      <c r="J11" s="74" t="str">
        <f t="shared" ca="1" si="9"/>
        <v/>
      </c>
      <c r="K11" s="74" t="str">
        <f ca="1">INDIRECT(""&amp;$C11&amp;"!e11")</f>
        <v/>
      </c>
      <c r="L11" s="74" t="str">
        <f ca="1">INDIRECT(""&amp;$C11&amp;"!f11")</f>
        <v/>
      </c>
      <c r="M11" s="74" t="str">
        <f ca="1">INDIRECT(""&amp;$C11&amp;"!g11")</f>
        <v/>
      </c>
      <c r="N11" s="74" t="str">
        <f ca="1">INDIRECT(""&amp;$C11&amp;"!h11")</f>
        <v/>
      </c>
      <c r="O11" s="74" t="str">
        <f ca="1">INDIRECT(""&amp;$C11&amp;"!i11")</f>
        <v/>
      </c>
      <c r="P11" s="5" t="str">
        <f>IF(D11="","input starter in column D",IF(D11=D10,"not enough rest",IF(D11=D9,"not enough rest",(IF(D11=D8,"not enough rest",IF(D11=D7,"not enough rest","ok"))))))</f>
        <v>input starter in column D</v>
      </c>
      <c r="Q11" s="5" t="str">
        <f>IF(P11="not enough rest","input a DIFFERENT starter in column C","")</f>
        <v/>
      </c>
      <c r="R11" s="10">
        <v>4</v>
      </c>
      <c r="S11" s="78" t="s">
        <v>635</v>
      </c>
      <c r="T11" s="46" t="str">
        <f>IF(ISERROR((VLOOKUP(S11,Pitchers!$B$1:H$800,4,FALSE))),"",(VLOOKUP(S11,Pitchers!$B$1:H$800,4,FALSE)))</f>
        <v>HOU</v>
      </c>
      <c r="U11" s="45" t="str">
        <f>IF(ISERROR((VLOOKUP(S11,Pitchers!B$2:AA$795,10,FALSE))),"",(VLOOKUP(S11,Pitchers!B$2:AA$795,10,FALSE)))</f>
        <v>R</v>
      </c>
      <c r="V11" s="41"/>
      <c r="W11" s="46">
        <f>IF(ISERROR((VLOOKUP(S11,Pitchers!B$2:AA$795,13,FALSE))),"",(VLOOKUP(S11,Pitchers!B$2:AA$795,13,FALSE)))</f>
        <v>4</v>
      </c>
      <c r="X11" s="47">
        <f>IF(ISERROR((VLOOKUP(S11,Pitchers!B$2:AA$795,11,FALSE))),"",(VLOOKUP(S11,Pitchers!B$2:AA$795,11,FALSE)))</f>
        <v>16</v>
      </c>
      <c r="Y11" s="48"/>
      <c r="Z11" s="49">
        <v>16</v>
      </c>
      <c r="AA11" s="50">
        <v>11</v>
      </c>
      <c r="AB11" s="51" t="str">
        <f>IF(ISERROR((VLOOKUP(S11,Pitchers!B$2:AA$795,16,FALSE))),"",(VLOOKUP(S11,Pitchers!B$2:AA$795,16,FALSE)))</f>
        <v>Y</v>
      </c>
      <c r="AC11" s="52" t="str">
        <f>IF(ISERROR((VLOOKUP(S11,Pitchers!B$2:AA$795,17,FALSE))),"",(VLOOKUP(S11,Pitchers!B$2:AA$795,17,FALSE)))</f>
        <v>W</v>
      </c>
      <c r="AD11" s="53" t="str">
        <f>IF(ISERROR((VLOOKUP(S11,Pitchers!B$2:AA$795,18,FALSE))),"",(VLOOKUP(S11,Pitchers!B$2:AA$795,18,FALSE)))</f>
        <v xml:space="preserve"> </v>
      </c>
      <c r="AE11" s="11">
        <f t="shared" si="0"/>
        <v>0</v>
      </c>
      <c r="AF11" s="12" t="str">
        <f t="shared" si="1"/>
        <v/>
      </c>
      <c r="AG11" s="2" t="str">
        <f t="shared" si="2"/>
        <v/>
      </c>
      <c r="AH11" s="5">
        <f t="shared" si="10"/>
        <v>0</v>
      </c>
      <c r="AJ11" s="33" t="str">
        <f t="shared" ca="1" si="3"/>
        <v>GCW</v>
      </c>
    </row>
    <row r="12" spans="1:36" ht="12.75">
      <c r="A12" s="6">
        <v>4.0999999999999996</v>
      </c>
      <c r="B12" s="33"/>
      <c r="C12" s="33"/>
      <c r="D12" s="74"/>
      <c r="E12" s="75"/>
      <c r="F12" s="75"/>
      <c r="G12" s="75"/>
      <c r="H12" s="75"/>
      <c r="I12" s="75"/>
      <c r="J12" s="74"/>
      <c r="K12" s="74"/>
      <c r="L12" s="74"/>
      <c r="M12" s="74"/>
      <c r="N12" s="74"/>
      <c r="O12" s="74"/>
      <c r="P12" s="1"/>
      <c r="Q12" s="1"/>
      <c r="R12" s="10"/>
      <c r="S12" s="84" t="s">
        <v>256</v>
      </c>
      <c r="T12" s="46" t="str">
        <f>IF(ISERROR((VLOOKUP(S12,Pitchers!$B$1:H$800,4,FALSE))),"",(VLOOKUP(S12,Pitchers!$B$1:H$800,4,FALSE)))</f>
        <v>HOU</v>
      </c>
      <c r="U12" s="45" t="str">
        <f>IF(ISERROR((VLOOKUP(S12,Pitchers!B$2:AA$795,10,FALSE))),"",(VLOOKUP(S12,Pitchers!B$2:AA$795,10,FALSE)))</f>
        <v>R</v>
      </c>
      <c r="V12" s="21"/>
      <c r="W12" s="46">
        <f>IF(ISERROR((VLOOKUP(S12,Pitchers!B$2:AA$795,13,FALSE))),"",(VLOOKUP(S12,Pitchers!B$2:AA$795,13,FALSE)))</f>
        <v>2</v>
      </c>
      <c r="X12" s="47">
        <f>IF(ISERROR((VLOOKUP(S12,Pitchers!B$2:AA$795,11,FALSE))),"",(VLOOKUP(S12,Pitchers!B$2:AA$795,11,FALSE)))</f>
        <v>200</v>
      </c>
      <c r="Y12" s="22"/>
      <c r="Z12" s="22"/>
      <c r="AA12" s="22"/>
      <c r="AB12" s="51" t="str">
        <f>IF(ISERROR((VLOOKUP(S12,Pitchers!B$2:AA$795,16,FALSE))),"",(VLOOKUP(S12,Pitchers!B$2:AA$795,16,FALSE)))</f>
        <v xml:space="preserve"> </v>
      </c>
      <c r="AC12" s="52" t="str">
        <f>IF(ISERROR((VLOOKUP(S12,Pitchers!B$2:AA$795,17,FALSE))),"",(VLOOKUP(S12,Pitchers!B$2:AA$795,17,FALSE)))</f>
        <v>W</v>
      </c>
      <c r="AD12" s="53" t="str">
        <f>IF(ISERROR((VLOOKUP(S12,Pitchers!B$2:AA$795,18,FALSE))),"",(VLOOKUP(S12,Pitchers!B$2:AA$795,18,FALSE)))</f>
        <v xml:space="preserve"> </v>
      </c>
      <c r="AE12" s="11">
        <f t="shared" si="0"/>
        <v>0</v>
      </c>
      <c r="AF12" s="12" t="str">
        <f t="shared" si="1"/>
        <v/>
      </c>
      <c r="AG12" s="2" t="str">
        <f t="shared" si="2"/>
        <v/>
      </c>
      <c r="AH12" s="5">
        <f t="shared" si="10"/>
        <v>0</v>
      </c>
      <c r="AJ12" s="33" t="str">
        <f t="shared" ca="1" si="3"/>
        <v/>
      </c>
    </row>
    <row r="13" spans="1:36" ht="12.75">
      <c r="A13" s="6">
        <v>4.1100000000000003</v>
      </c>
      <c r="B13" s="33"/>
      <c r="C13" s="33" t="s">
        <v>56</v>
      </c>
      <c r="D13" s="74"/>
      <c r="E13" s="75" t="str">
        <f t="shared" si="4"/>
        <v/>
      </c>
      <c r="F13" s="75" t="str">
        <f t="shared" si="5"/>
        <v/>
      </c>
      <c r="G13" s="75" t="str">
        <f t="shared" si="6"/>
        <v/>
      </c>
      <c r="H13" s="75" t="str">
        <f t="shared" si="7"/>
        <v/>
      </c>
      <c r="I13" s="75" t="str">
        <f t="shared" si="8"/>
        <v/>
      </c>
      <c r="J13" s="74" t="str">
        <f t="shared" ca="1" si="9"/>
        <v/>
      </c>
      <c r="K13" s="74" t="str">
        <f ca="1">INDIRECT(""&amp;$C13&amp;"!e13")</f>
        <v/>
      </c>
      <c r="L13" s="74" t="str">
        <f ca="1">INDIRECT(""&amp;$C13&amp;"!f13")</f>
        <v/>
      </c>
      <c r="M13" s="74" t="str">
        <f ca="1">INDIRECT(""&amp;$C13&amp;"!g13")</f>
        <v/>
      </c>
      <c r="N13" s="74" t="str">
        <f ca="1">INDIRECT(""&amp;$C13&amp;"!h13")</f>
        <v/>
      </c>
      <c r="O13" s="74" t="str">
        <f ca="1">INDIRECT(""&amp;$C13&amp;"!i13")</f>
        <v/>
      </c>
      <c r="P13" s="5" t="str">
        <f>IF(D13="","input starter in column D",IF(D13=D12,"not enough rest",IF(D13=D11,"not enough rest",(IF(D13=D10,"not enough rest",IF(D13=D9,"not enough rest","ok"))))))</f>
        <v>input starter in column D</v>
      </c>
      <c r="Q13" s="5" t="str">
        <f>IF(P13="not enough rest","input a DIFFERENT starter in column C","")</f>
        <v/>
      </c>
      <c r="R13" s="10">
        <v>1</v>
      </c>
      <c r="S13" s="23"/>
      <c r="T13" s="46" t="str">
        <f>IF(ISERROR((VLOOKUP(S13,Pitchers!$B$1:H$800,4,FALSE))),"",(VLOOKUP(S13,Pitchers!$B$1:H$800,4,FALSE)))</f>
        <v/>
      </c>
      <c r="U13" s="45" t="str">
        <f>IF(ISERROR((VLOOKUP(S13,Pitchers!B$2:AA$795,10,FALSE))),"",(VLOOKUP(S13,Pitchers!B$2:AA$795,10,FALSE)))</f>
        <v/>
      </c>
      <c r="V13" s="21"/>
      <c r="W13" s="46" t="str">
        <f>IF(ISERROR((VLOOKUP(S13,Pitchers!B$2:AA$795,13,FALSE))),"",(VLOOKUP(S13,Pitchers!B$2:AA$795,13,FALSE)))</f>
        <v/>
      </c>
      <c r="X13" s="47" t="str">
        <f>IF(ISERROR((VLOOKUP(S13,Pitchers!B$2:AA$795,11,FALSE))),"",(VLOOKUP(S13,Pitchers!B$2:AA$795,11,FALSE)))</f>
        <v/>
      </c>
      <c r="Y13" s="22"/>
      <c r="Z13" s="22"/>
      <c r="AA13" s="22"/>
      <c r="AB13" s="51" t="str">
        <f>IF(ISERROR((VLOOKUP(S13,Pitchers!B$2:AA$795,16,FALSE))),"",(VLOOKUP(S13,Pitchers!B$2:AA$795,16,FALSE)))</f>
        <v/>
      </c>
      <c r="AC13" s="52" t="str">
        <f>IF(ISERROR((VLOOKUP(S13,Pitchers!B$2:AA$795,17,FALSE))),"",(VLOOKUP(S13,Pitchers!B$2:AA$795,17,FALSE)))</f>
        <v/>
      </c>
      <c r="AD13" s="53" t="str">
        <f>IF(ISERROR((VLOOKUP(S13,Pitchers!B$2:AA$795,18,FALSE))),"",(VLOOKUP(S13,Pitchers!B$2:AA$795,18,FALSE)))</f>
        <v/>
      </c>
      <c r="AE13" s="11">
        <f t="shared" si="0"/>
        <v>0</v>
      </c>
      <c r="AF13" s="12" t="str">
        <f t="shared" si="1"/>
        <v/>
      </c>
      <c r="AG13" s="2" t="str">
        <f t="shared" si="2"/>
        <v/>
      </c>
      <c r="AH13" s="5">
        <f t="shared" si="10"/>
        <v>0</v>
      </c>
      <c r="AJ13" s="33" t="str">
        <f t="shared" ca="1" si="3"/>
        <v>GCW</v>
      </c>
    </row>
    <row r="14" spans="1:36" ht="12.75">
      <c r="A14" s="6">
        <v>4.12</v>
      </c>
      <c r="B14" s="33"/>
      <c r="C14" s="33" t="s">
        <v>56</v>
      </c>
      <c r="D14" s="74"/>
      <c r="E14" s="75" t="str">
        <f t="shared" si="4"/>
        <v/>
      </c>
      <c r="F14" s="75" t="str">
        <f t="shared" si="5"/>
        <v/>
      </c>
      <c r="G14" s="75" t="str">
        <f t="shared" si="6"/>
        <v/>
      </c>
      <c r="H14" s="75" t="str">
        <f t="shared" si="7"/>
        <v/>
      </c>
      <c r="I14" s="75" t="str">
        <f t="shared" si="8"/>
        <v/>
      </c>
      <c r="J14" s="74" t="str">
        <f t="shared" ca="1" si="9"/>
        <v/>
      </c>
      <c r="K14" s="74" t="str">
        <f ca="1">INDIRECT(""&amp;$C14&amp;"!e14")</f>
        <v/>
      </c>
      <c r="L14" s="74" t="str">
        <f ca="1">INDIRECT(""&amp;$C14&amp;"!f14")</f>
        <v/>
      </c>
      <c r="M14" s="74" t="str">
        <f ca="1">INDIRECT(""&amp;$C14&amp;"!g14")</f>
        <v/>
      </c>
      <c r="N14" s="74" t="str">
        <f ca="1">INDIRECT(""&amp;$C14&amp;"!h14")</f>
        <v/>
      </c>
      <c r="O14" s="74" t="str">
        <f ca="1">INDIRECT(""&amp;$C14&amp;"!i14")</f>
        <v/>
      </c>
      <c r="P14" s="5" t="str">
        <f>IF(D14="","input starter in column D",IF(D14=D13,"not enough rest",IF(D14=D12,"not enough rest",(IF(D14=D11,"not enough rest",IF(D14=D10,"not enough rest","ok"))))))</f>
        <v>input starter in column D</v>
      </c>
      <c r="Q14" s="5" t="str">
        <f>IF(P14="not enough rest","input a DIFFERENT starter in column C","")</f>
        <v/>
      </c>
      <c r="R14" s="10">
        <v>2</v>
      </c>
      <c r="S14" s="20"/>
      <c r="T14" s="46" t="str">
        <f>IF(ISERROR((VLOOKUP(S14,Pitchers!$B$1:H$800,4,FALSE))),"",(VLOOKUP(S14,Pitchers!$B$1:H$800,4,FALSE)))</f>
        <v/>
      </c>
      <c r="U14" s="45" t="str">
        <f>IF(ISERROR((VLOOKUP(S14,Pitchers!B$2:AA$795,10,FALSE))),"",(VLOOKUP(S14,Pitchers!B$2:AA$795,10,FALSE)))</f>
        <v/>
      </c>
      <c r="V14" s="21"/>
      <c r="W14" s="46" t="str">
        <f>IF(ISERROR((VLOOKUP(S14,Pitchers!B$2:AA$795,13,FALSE))),"",(VLOOKUP(S14,Pitchers!B$2:AA$795,13,FALSE)))</f>
        <v/>
      </c>
      <c r="X14" s="47" t="str">
        <f>IF(ISERROR((VLOOKUP(S14,Pitchers!B$2:AA$795,11,FALSE))),"",(VLOOKUP(S14,Pitchers!B$2:AA$795,11,FALSE)))</f>
        <v/>
      </c>
      <c r="Y14" s="22"/>
      <c r="Z14" s="26"/>
      <c r="AA14" s="27"/>
      <c r="AB14" s="51" t="str">
        <f>IF(ISERROR((VLOOKUP(S14,Pitchers!B$2:AA$795,16,FALSE))),"",(VLOOKUP(S14,Pitchers!B$2:AA$795,16,FALSE)))</f>
        <v/>
      </c>
      <c r="AC14" s="52" t="str">
        <f>IF(ISERROR((VLOOKUP(S14,Pitchers!B$2:AA$795,17,FALSE))),"",(VLOOKUP(S14,Pitchers!B$2:AA$795,17,FALSE)))</f>
        <v/>
      </c>
      <c r="AD14" s="53" t="str">
        <f>IF(ISERROR((VLOOKUP(S14,Pitchers!B$2:AA$795,18,FALSE))),"",(VLOOKUP(S14,Pitchers!B$2:AA$795,18,FALSE)))</f>
        <v/>
      </c>
      <c r="AE14" s="11">
        <f t="shared" si="0"/>
        <v>0</v>
      </c>
      <c r="AF14" s="12" t="str">
        <f t="shared" si="1"/>
        <v/>
      </c>
      <c r="AG14" s="2" t="str">
        <f t="shared" si="2"/>
        <v/>
      </c>
      <c r="AH14" s="5">
        <f t="shared" si="10"/>
        <v>0</v>
      </c>
      <c r="AJ14" s="33" t="str">
        <f t="shared" ca="1" si="3"/>
        <v>GCW</v>
      </c>
    </row>
    <row r="15" spans="1:36" ht="12.75">
      <c r="A15" s="6">
        <v>4.13</v>
      </c>
      <c r="B15" s="33"/>
      <c r="C15" s="33" t="s">
        <v>56</v>
      </c>
      <c r="D15" s="74"/>
      <c r="E15" s="75" t="str">
        <f t="shared" si="4"/>
        <v/>
      </c>
      <c r="F15" s="75" t="str">
        <f t="shared" si="5"/>
        <v/>
      </c>
      <c r="G15" s="75" t="str">
        <f t="shared" si="6"/>
        <v/>
      </c>
      <c r="H15" s="75" t="str">
        <f t="shared" si="7"/>
        <v/>
      </c>
      <c r="I15" s="75" t="str">
        <f t="shared" si="8"/>
        <v/>
      </c>
      <c r="J15" s="74" t="str">
        <f t="shared" ca="1" si="9"/>
        <v/>
      </c>
      <c r="K15" s="74" t="str">
        <f ca="1">INDIRECT(""&amp;$C15&amp;"!e15")</f>
        <v/>
      </c>
      <c r="L15" s="74" t="str">
        <f ca="1">INDIRECT(""&amp;$C15&amp;"!f15")</f>
        <v/>
      </c>
      <c r="M15" s="74" t="str">
        <f ca="1">INDIRECT(""&amp;$C15&amp;"!g15")</f>
        <v/>
      </c>
      <c r="N15" s="74" t="str">
        <f ca="1">INDIRECT(""&amp;$C15&amp;"!h15")</f>
        <v/>
      </c>
      <c r="O15" s="74" t="str">
        <f ca="1">INDIRECT(""&amp;$C15&amp;"!i15")</f>
        <v/>
      </c>
      <c r="P15" s="5" t="str">
        <f>IF(D15="","input starter in column D",IF(D15=D14,"not enough rest",IF(D15=D13,"not enough rest",(IF(D15=D12,"not enough rest",IF(D15=D11,"not enough rest","ok"))))))</f>
        <v>input starter in column D</v>
      </c>
      <c r="Q15" s="5" t="str">
        <f>IF(P15="not enough rest","input a DIFFERENT starter in column C","")</f>
        <v/>
      </c>
      <c r="R15" s="10">
        <v>3</v>
      </c>
      <c r="S15" s="23"/>
      <c r="T15" s="46" t="str">
        <f>IF(ISERROR((VLOOKUP(S15,Pitchers!$B$1:H$800,4,FALSE))),"",(VLOOKUP(S15,Pitchers!$B$1:H$800,4,FALSE)))</f>
        <v/>
      </c>
      <c r="U15" s="45" t="str">
        <f>IF(ISERROR((VLOOKUP(S15,Pitchers!B$2:AA$795,10,FALSE))),"",(VLOOKUP(S15,Pitchers!B$2:AA$795,10,FALSE)))</f>
        <v/>
      </c>
      <c r="V15" s="21"/>
      <c r="W15" s="46" t="str">
        <f>IF(ISERROR((VLOOKUP(S15,Pitchers!B$2:AA$795,13,FALSE))),"",(VLOOKUP(S15,Pitchers!B$2:AA$795,13,FALSE)))</f>
        <v/>
      </c>
      <c r="X15" s="47" t="str">
        <f>IF(ISERROR((VLOOKUP(S15,Pitchers!B$2:AA$795,11,FALSE))),"",(VLOOKUP(S15,Pitchers!B$2:AA$795,11,FALSE)))</f>
        <v/>
      </c>
      <c r="Y15" s="22"/>
      <c r="Z15" s="26"/>
      <c r="AA15" s="27"/>
      <c r="AB15" s="51" t="str">
        <f>IF(ISERROR((VLOOKUP(S15,Pitchers!B$2:AA$795,16,FALSE))),"",(VLOOKUP(S15,Pitchers!B$2:AA$795,16,FALSE)))</f>
        <v/>
      </c>
      <c r="AC15" s="52" t="str">
        <f>IF(ISERROR((VLOOKUP(S15,Pitchers!B$2:AA$795,17,FALSE))),"",(VLOOKUP(S15,Pitchers!B$2:AA$795,17,FALSE)))</f>
        <v/>
      </c>
      <c r="AD15" s="53" t="str">
        <f>IF(ISERROR((VLOOKUP(S15,Pitchers!B$2:AA$795,18,FALSE))),"",(VLOOKUP(S15,Pitchers!B$2:AA$795,18,FALSE)))</f>
        <v/>
      </c>
      <c r="AE15" s="11">
        <f t="shared" si="0"/>
        <v>0</v>
      </c>
      <c r="AF15" s="12" t="str">
        <f t="shared" si="1"/>
        <v/>
      </c>
      <c r="AG15" s="2" t="str">
        <f t="shared" si="2"/>
        <v/>
      </c>
      <c r="AH15" s="5">
        <f t="shared" si="10"/>
        <v>0</v>
      </c>
      <c r="AJ15" s="33" t="str">
        <f t="shared" ca="1" si="3"/>
        <v>GCW</v>
      </c>
    </row>
    <row r="16" spans="1:36" ht="12.75">
      <c r="A16" s="6">
        <v>4.1399999999999997</v>
      </c>
      <c r="B16" s="33"/>
      <c r="C16" s="33" t="s">
        <v>56</v>
      </c>
      <c r="D16" s="74"/>
      <c r="E16" s="75" t="str">
        <f t="shared" si="4"/>
        <v/>
      </c>
      <c r="F16" s="75" t="str">
        <f t="shared" si="5"/>
        <v/>
      </c>
      <c r="G16" s="75" t="str">
        <f t="shared" si="6"/>
        <v/>
      </c>
      <c r="H16" s="75" t="str">
        <f t="shared" si="7"/>
        <v/>
      </c>
      <c r="I16" s="75" t="str">
        <f t="shared" si="8"/>
        <v/>
      </c>
      <c r="J16" s="74" t="str">
        <f t="shared" ca="1" si="9"/>
        <v/>
      </c>
      <c r="K16" s="74" t="str">
        <f ca="1">INDIRECT(""&amp;$C16&amp;"!e16")</f>
        <v/>
      </c>
      <c r="L16" s="74" t="str">
        <f ca="1">INDIRECT(""&amp;$C16&amp;"!f16")</f>
        <v/>
      </c>
      <c r="M16" s="74" t="str">
        <f ca="1">INDIRECT(""&amp;$C16&amp;"!g16")</f>
        <v/>
      </c>
      <c r="N16" s="74" t="str">
        <f ca="1">INDIRECT(""&amp;$C16&amp;"!h16")</f>
        <v/>
      </c>
      <c r="O16" s="74" t="str">
        <f ca="1">INDIRECT(""&amp;$C16&amp;"!i16")</f>
        <v/>
      </c>
      <c r="P16" s="5" t="str">
        <f>IF(D16="","input starter in column D",IF(D16=D15,"not enough rest",IF(D16=D14,"not enough rest",(IF(D16=D13,"not enough rest",IF(D16=D12,"not enough rest","ok"))))))</f>
        <v>input starter in column D</v>
      </c>
      <c r="Q16" s="5" t="str">
        <f>IF(P16="not enough rest","input a DIFFERENT starter in column C","")</f>
        <v/>
      </c>
      <c r="R16" s="10">
        <v>4</v>
      </c>
      <c r="S16" s="23"/>
      <c r="T16" s="46" t="str">
        <f>IF(ISERROR((VLOOKUP(S16,Pitchers!$B$1:H$800,4,FALSE))),"",(VLOOKUP(S16,Pitchers!$B$1:H$800,4,FALSE)))</f>
        <v/>
      </c>
      <c r="U16" s="45" t="str">
        <f>IF(ISERROR((VLOOKUP(S16,Pitchers!B$2:AA$795,10,FALSE))),"",(VLOOKUP(S16,Pitchers!B$2:AA$795,10,FALSE)))</f>
        <v/>
      </c>
      <c r="V16" s="21"/>
      <c r="W16" s="46" t="str">
        <f>IF(ISERROR((VLOOKUP(S16,Pitchers!B$2:AA$795,13,FALSE))),"",(VLOOKUP(S16,Pitchers!B$2:AA$795,13,FALSE)))</f>
        <v/>
      </c>
      <c r="X16" s="47" t="str">
        <f>IF(ISERROR((VLOOKUP(S16,Pitchers!B$2:AA$795,11,FALSE))),"",(VLOOKUP(S16,Pitchers!B$2:AA$795,11,FALSE)))</f>
        <v/>
      </c>
      <c r="Y16" s="22"/>
      <c r="Z16" s="22"/>
      <c r="AA16" s="22"/>
      <c r="AB16" s="51" t="str">
        <f>IF(ISERROR((VLOOKUP(S16,Pitchers!B$2:AA$795,16,FALSE))),"",(VLOOKUP(S16,Pitchers!B$2:AA$795,16,FALSE)))</f>
        <v/>
      </c>
      <c r="AC16" s="52" t="str">
        <f>IF(ISERROR((VLOOKUP(S16,Pitchers!B$2:AA$795,17,FALSE))),"",(VLOOKUP(S16,Pitchers!B$2:AA$795,17,FALSE)))</f>
        <v/>
      </c>
      <c r="AD16" s="53" t="str">
        <f>IF(ISERROR((VLOOKUP(S16,Pitchers!B$2:AA$795,18,FALSE))),"",(VLOOKUP(S16,Pitchers!B$2:AA$795,18,FALSE)))</f>
        <v/>
      </c>
      <c r="AE16" s="11">
        <f t="shared" si="0"/>
        <v>0</v>
      </c>
      <c r="AF16" s="12" t="str">
        <f t="shared" si="1"/>
        <v/>
      </c>
      <c r="AG16" s="2" t="str">
        <f t="shared" si="2"/>
        <v/>
      </c>
      <c r="AH16" s="5">
        <f t="shared" si="10"/>
        <v>0</v>
      </c>
      <c r="AJ16" s="33" t="str">
        <f t="shared" ca="1" si="3"/>
        <v>GCW</v>
      </c>
    </row>
    <row r="17" spans="1:36" ht="12.75">
      <c r="A17" s="6">
        <v>4.1500000000000004</v>
      </c>
      <c r="B17" s="33"/>
      <c r="C17" s="33"/>
      <c r="D17" s="74"/>
      <c r="E17" s="75"/>
      <c r="F17" s="75"/>
      <c r="G17" s="75"/>
      <c r="H17" s="75"/>
      <c r="I17" s="75"/>
      <c r="J17" s="74"/>
      <c r="K17" s="74"/>
      <c r="L17" s="74"/>
      <c r="M17" s="74"/>
      <c r="N17" s="74"/>
      <c r="O17" s="74"/>
      <c r="P17" s="1"/>
      <c r="Q17" s="1"/>
      <c r="R17" s="10"/>
      <c r="S17" s="24"/>
      <c r="T17" s="46" t="str">
        <f>IF(ISERROR((VLOOKUP(S17,Pitchers!$B$1:H$800,4,FALSE))),"",(VLOOKUP(S17,Pitchers!$B$1:H$800,4,FALSE)))</f>
        <v/>
      </c>
      <c r="U17" s="45" t="str">
        <f>IF(ISERROR((VLOOKUP(S17,Pitchers!B$2:AA$795,10,FALSE))),"",(VLOOKUP(S17,Pitchers!B$2:AA$795,10,FALSE)))</f>
        <v/>
      </c>
      <c r="V17" s="21"/>
      <c r="W17" s="46" t="str">
        <f>IF(ISERROR((VLOOKUP(S17,Pitchers!B$2:AA$795,13,FALSE))),"",(VLOOKUP(S17,Pitchers!B$2:AA$795,13,FALSE)))</f>
        <v/>
      </c>
      <c r="X17" s="47" t="str">
        <f>IF(ISERROR((VLOOKUP(S17,Pitchers!B$2:AA$795,11,FALSE))),"",(VLOOKUP(S17,Pitchers!B$2:AA$795,11,FALSE)))</f>
        <v/>
      </c>
      <c r="Y17" s="24"/>
      <c r="Z17" s="24"/>
      <c r="AA17" s="24"/>
      <c r="AB17" s="51" t="str">
        <f>IF(ISERROR((VLOOKUP(S17,Pitchers!B$2:AA$795,16,FALSE))),"",(VLOOKUP(S17,Pitchers!B$2:AA$795,16,FALSE)))</f>
        <v/>
      </c>
      <c r="AC17" s="52" t="str">
        <f>IF(ISERROR((VLOOKUP(S17,Pitchers!B$2:AA$795,17,FALSE))),"",(VLOOKUP(S17,Pitchers!B$2:AA$795,17,FALSE)))</f>
        <v/>
      </c>
      <c r="AD17" s="53" t="str">
        <f>IF(ISERROR((VLOOKUP(S17,Pitchers!B$2:AA$795,18,FALSE))),"",(VLOOKUP(S17,Pitchers!B$2:AA$795,18,FALSE)))</f>
        <v/>
      </c>
      <c r="AE17" s="11">
        <f t="shared" si="0"/>
        <v>0</v>
      </c>
      <c r="AF17" s="12" t="str">
        <f t="shared" si="1"/>
        <v/>
      </c>
      <c r="AG17" s="2" t="str">
        <f t="shared" si="2"/>
        <v/>
      </c>
      <c r="AH17" s="5">
        <f t="shared" si="10"/>
        <v>0</v>
      </c>
      <c r="AJ17" s="33" t="str">
        <f t="shared" ca="1" si="3"/>
        <v/>
      </c>
    </row>
    <row r="18" spans="1:36" ht="12.75">
      <c r="A18" s="6">
        <v>4.16</v>
      </c>
      <c r="B18" s="33"/>
      <c r="C18" s="33" t="s">
        <v>14</v>
      </c>
      <c r="D18" s="74"/>
      <c r="E18" s="75" t="str">
        <f t="shared" si="4"/>
        <v/>
      </c>
      <c r="F18" s="75" t="str">
        <f t="shared" si="5"/>
        <v/>
      </c>
      <c r="G18" s="75" t="str">
        <f t="shared" si="6"/>
        <v/>
      </c>
      <c r="H18" s="75" t="str">
        <f t="shared" si="7"/>
        <v/>
      </c>
      <c r="I18" s="75" t="str">
        <f t="shared" si="8"/>
        <v/>
      </c>
      <c r="J18" s="74" t="str">
        <f t="shared" ca="1" si="9"/>
        <v/>
      </c>
      <c r="K18" s="74" t="str">
        <f ca="1">INDIRECT(""&amp;$C18&amp;"!e18")</f>
        <v/>
      </c>
      <c r="L18" s="74" t="str">
        <f ca="1">INDIRECT(""&amp;$C18&amp;"!f18")</f>
        <v/>
      </c>
      <c r="M18" s="74" t="str">
        <f ca="1">INDIRECT(""&amp;$C18&amp;"!g18")</f>
        <v/>
      </c>
      <c r="N18" s="74" t="str">
        <f ca="1">INDIRECT(""&amp;$C18&amp;"!h18")</f>
        <v/>
      </c>
      <c r="O18" s="74" t="str">
        <f ca="1">INDIRECT(""&amp;$C18&amp;"!i18")</f>
        <v/>
      </c>
      <c r="P18" s="5" t="str">
        <f>IF(D18="","input starter in column D",IF(D18=D17,"not enough rest",IF(D18=D16,"not enough rest",(IF(D18=D15,"not enough rest",IF(D18=D14,"not enough rest","ok"))))))</f>
        <v>input starter in column D</v>
      </c>
      <c r="Q18" s="5" t="str">
        <f>IF(P18="not enough rest","input a DIFFERENT starter in column C","")</f>
        <v/>
      </c>
      <c r="R18" s="10">
        <v>1</v>
      </c>
      <c r="S18" s="23"/>
      <c r="T18" s="46" t="str">
        <f>IF(ISERROR((VLOOKUP(S18,Pitchers!$B$1:H$800,4,FALSE))),"",(VLOOKUP(S18,Pitchers!$B$1:H$800,4,FALSE)))</f>
        <v/>
      </c>
      <c r="U18" s="45" t="str">
        <f>IF(ISERROR((VLOOKUP(S18,Pitchers!B$2:AA$795,10,FALSE))),"",(VLOOKUP(S18,Pitchers!B$2:AA$795,10,FALSE)))</f>
        <v/>
      </c>
      <c r="V18" s="21"/>
      <c r="W18" s="46" t="str">
        <f>IF(ISERROR((VLOOKUP(S18,Pitchers!B$2:AA$795,13,FALSE))),"",(VLOOKUP(S18,Pitchers!B$2:AA$795,13,FALSE)))</f>
        <v/>
      </c>
      <c r="X18" s="47" t="str">
        <f>IF(ISERROR((VLOOKUP(S18,Pitchers!B$2:AA$795,11,FALSE))),"",(VLOOKUP(S18,Pitchers!B$2:AA$795,11,FALSE)))</f>
        <v/>
      </c>
      <c r="Y18" s="22"/>
      <c r="Z18" s="25"/>
      <c r="AA18" s="25"/>
      <c r="AB18" s="51" t="str">
        <f>IF(ISERROR((VLOOKUP(S18,Pitchers!B$2:AA$795,16,FALSE))),"",(VLOOKUP(S18,Pitchers!B$2:AA$795,16,FALSE)))</f>
        <v/>
      </c>
      <c r="AC18" s="52" t="str">
        <f>IF(ISERROR((VLOOKUP(S18,Pitchers!B$2:AA$795,17,FALSE))),"",(VLOOKUP(S18,Pitchers!B$2:AA$795,17,FALSE)))</f>
        <v/>
      </c>
      <c r="AD18" s="53" t="str">
        <f>IF(ISERROR((VLOOKUP(S18,Pitchers!B$2:AA$795,18,FALSE))),"",(VLOOKUP(S18,Pitchers!B$2:AA$795,18,FALSE)))</f>
        <v/>
      </c>
      <c r="AE18" s="11">
        <f t="shared" si="0"/>
        <v>0</v>
      </c>
      <c r="AF18" s="12" t="str">
        <f t="shared" si="1"/>
        <v/>
      </c>
      <c r="AG18" s="2" t="str">
        <f t="shared" si="2"/>
        <v/>
      </c>
      <c r="AH18" s="5">
        <f t="shared" si="10"/>
        <v>0</v>
      </c>
      <c r="AJ18" s="33" t="str">
        <f t="shared" ca="1" si="3"/>
        <v>GCW</v>
      </c>
    </row>
    <row r="19" spans="1:36" ht="12.75">
      <c r="A19" s="6">
        <v>4.17</v>
      </c>
      <c r="B19" s="33"/>
      <c r="C19" s="33" t="s">
        <v>14</v>
      </c>
      <c r="D19" s="74"/>
      <c r="E19" s="75" t="str">
        <f t="shared" si="4"/>
        <v/>
      </c>
      <c r="F19" s="75" t="str">
        <f t="shared" si="5"/>
        <v/>
      </c>
      <c r="G19" s="75" t="str">
        <f t="shared" si="6"/>
        <v/>
      </c>
      <c r="H19" s="75" t="str">
        <f t="shared" si="7"/>
        <v/>
      </c>
      <c r="I19" s="75" t="str">
        <f t="shared" si="8"/>
        <v/>
      </c>
      <c r="J19" s="74" t="str">
        <f t="shared" ca="1" si="9"/>
        <v/>
      </c>
      <c r="K19" s="74" t="str">
        <f ca="1">INDIRECT(""&amp;$C19&amp;"!e19")</f>
        <v/>
      </c>
      <c r="L19" s="74" t="str">
        <f ca="1">INDIRECT(""&amp;$C19&amp;"!f19")</f>
        <v/>
      </c>
      <c r="M19" s="74" t="str">
        <f ca="1">INDIRECT(""&amp;$C19&amp;"!g19")</f>
        <v/>
      </c>
      <c r="N19" s="74" t="str">
        <f ca="1">INDIRECT(""&amp;$C19&amp;"!h19")</f>
        <v/>
      </c>
      <c r="O19" s="74" t="str">
        <f ca="1">INDIRECT(""&amp;$C19&amp;"!i19")</f>
        <v/>
      </c>
      <c r="P19" s="5" t="str">
        <f>IF(D19="","input starter in column D",IF(D19=D18,"not enough rest",IF(D19=D17,"not enough rest",(IF(D19=D16,"not enough rest",IF(D19=D15,"not enough rest","ok"))))))</f>
        <v>input starter in column D</v>
      </c>
      <c r="Q19" s="5" t="str">
        <f>IF(P19="not enough rest","input a DIFFERENT starter in column C","")</f>
        <v/>
      </c>
      <c r="R19" s="10">
        <v>2</v>
      </c>
      <c r="S19" s="20"/>
      <c r="T19" s="46" t="str">
        <f>IF(ISERROR((VLOOKUP(S19,Pitchers!$B$1:H$800,4,FALSE))),"",(VLOOKUP(S19,Pitchers!$B$1:H$800,4,FALSE)))</f>
        <v/>
      </c>
      <c r="U19" s="45" t="str">
        <f>IF(ISERROR((VLOOKUP(S19,Pitchers!B$2:AA$795,10,FALSE))),"",(VLOOKUP(S19,Pitchers!B$2:AA$795,10,FALSE)))</f>
        <v/>
      </c>
      <c r="V19" s="17"/>
      <c r="W19" s="46" t="str">
        <f>IF(ISERROR((VLOOKUP(S19,Pitchers!B$2:AA$795,13,FALSE))),"",(VLOOKUP(S19,Pitchers!B$2:AA$795,13,FALSE)))</f>
        <v/>
      </c>
      <c r="X19" s="47" t="str">
        <f>IF(ISERROR((VLOOKUP(S19,Pitchers!B$2:AA$795,11,FALSE))),"",(VLOOKUP(S19,Pitchers!B$2:AA$795,11,FALSE)))</f>
        <v/>
      </c>
      <c r="Y19" s="22"/>
      <c r="Z19" s="25"/>
      <c r="AA19" s="25"/>
      <c r="AB19" s="51" t="str">
        <f>IF(ISERROR((VLOOKUP(S19,Pitchers!B$2:AA$795,16,FALSE))),"",(VLOOKUP(S19,Pitchers!B$2:AA$795,16,FALSE)))</f>
        <v/>
      </c>
      <c r="AC19" s="52" t="str">
        <f>IF(ISERROR((VLOOKUP(S19,Pitchers!B$2:AA$795,17,FALSE))),"",(VLOOKUP(S19,Pitchers!B$2:AA$795,17,FALSE)))</f>
        <v/>
      </c>
      <c r="AD19" s="53" t="str">
        <f>IF(ISERROR((VLOOKUP(S19,Pitchers!B$2:AA$795,18,FALSE))),"",(VLOOKUP(S19,Pitchers!B$2:AA$795,18,FALSE)))</f>
        <v/>
      </c>
      <c r="AE19" s="11">
        <f t="shared" si="0"/>
        <v>0</v>
      </c>
      <c r="AF19" s="12" t="str">
        <f t="shared" si="1"/>
        <v/>
      </c>
      <c r="AG19" s="2" t="str">
        <f t="shared" si="2"/>
        <v/>
      </c>
      <c r="AH19" s="5">
        <f t="shared" si="10"/>
        <v>0</v>
      </c>
      <c r="AJ19" s="33" t="str">
        <f t="shared" ca="1" si="3"/>
        <v>GCW</v>
      </c>
    </row>
    <row r="20" spans="1:36" ht="12.75">
      <c r="A20" s="6">
        <v>4.18</v>
      </c>
      <c r="B20" s="33"/>
      <c r="C20" s="33" t="s">
        <v>14</v>
      </c>
      <c r="D20" s="74"/>
      <c r="E20" s="75" t="str">
        <f t="shared" si="4"/>
        <v/>
      </c>
      <c r="F20" s="75" t="str">
        <f t="shared" si="5"/>
        <v/>
      </c>
      <c r="G20" s="75" t="str">
        <f t="shared" si="6"/>
        <v/>
      </c>
      <c r="H20" s="75" t="str">
        <f t="shared" si="7"/>
        <v/>
      </c>
      <c r="I20" s="75" t="str">
        <f t="shared" si="8"/>
        <v/>
      </c>
      <c r="J20" s="74" t="str">
        <f t="shared" ca="1" si="9"/>
        <v/>
      </c>
      <c r="K20" s="74" t="str">
        <f ca="1">INDIRECT(""&amp;$C20&amp;"!e20")</f>
        <v/>
      </c>
      <c r="L20" s="74" t="str">
        <f ca="1">INDIRECT(""&amp;$C20&amp;"!f20")</f>
        <v/>
      </c>
      <c r="M20" s="74" t="str">
        <f ca="1">INDIRECT(""&amp;$C20&amp;"!g20")</f>
        <v/>
      </c>
      <c r="N20" s="74" t="str">
        <f ca="1">INDIRECT(""&amp;$C20&amp;"!h20")</f>
        <v/>
      </c>
      <c r="O20" s="74" t="str">
        <f ca="1">INDIRECT(""&amp;$C20&amp;"!i20")</f>
        <v/>
      </c>
      <c r="P20" s="5" t="str">
        <f>IF(D20="","input starter in column D",IF(D20=D19,"not enough rest",IF(D20=D18,"not enough rest",(IF(D20=D17,"not enough rest",IF(D20=D16,"not enough rest","ok"))))))</f>
        <v>input starter in column D</v>
      </c>
      <c r="Q20" s="5" t="str">
        <f>IF(P20="not enough rest","input a DIFFERENT starter in column C","")</f>
        <v/>
      </c>
      <c r="R20" s="10">
        <v>3</v>
      </c>
      <c r="S20" s="20"/>
      <c r="T20" s="46" t="str">
        <f>IF(ISERROR((VLOOKUP(S20,Pitchers!$B$1:H$800,4,FALSE))),"",(VLOOKUP(S20,Pitchers!$B$1:H$800,4,FALSE)))</f>
        <v/>
      </c>
      <c r="U20" s="45" t="str">
        <f>IF(ISERROR((VLOOKUP(S20,Pitchers!B$2:AA$795,10,FALSE))),"",(VLOOKUP(S20,Pitchers!B$2:AA$795,10,FALSE)))</f>
        <v/>
      </c>
      <c r="V20" s="17"/>
      <c r="W20" s="46" t="str">
        <f>IF(ISERROR((VLOOKUP(S20,Pitchers!B$2:AA$795,13,FALSE))),"",(VLOOKUP(S20,Pitchers!B$2:AA$795,13,FALSE)))</f>
        <v/>
      </c>
      <c r="X20" s="47" t="str">
        <f>IF(ISERROR((VLOOKUP(S20,Pitchers!B$2:AA$795,11,FALSE))),"",(VLOOKUP(S20,Pitchers!B$2:AA$795,11,FALSE)))</f>
        <v/>
      </c>
      <c r="Y20" s="22"/>
      <c r="Z20" s="19"/>
      <c r="AA20" s="25"/>
      <c r="AB20" s="51" t="str">
        <f>IF(ISERROR((VLOOKUP(S20,Pitchers!B$2:AA$795,16,FALSE))),"",(VLOOKUP(S20,Pitchers!B$2:AA$795,16,FALSE)))</f>
        <v/>
      </c>
      <c r="AC20" s="52" t="str">
        <f>IF(ISERROR((VLOOKUP(S20,Pitchers!B$2:AA$795,17,FALSE))),"",(VLOOKUP(S20,Pitchers!B$2:AA$795,17,FALSE)))</f>
        <v/>
      </c>
      <c r="AD20" s="53" t="str">
        <f>IF(ISERROR((VLOOKUP(S20,Pitchers!B$2:AA$795,18,FALSE))),"",(VLOOKUP(S20,Pitchers!B$2:AA$795,18,FALSE)))</f>
        <v/>
      </c>
      <c r="AE20" s="11">
        <f t="shared" si="0"/>
        <v>0</v>
      </c>
      <c r="AF20" s="12" t="str">
        <f t="shared" si="1"/>
        <v/>
      </c>
      <c r="AG20" s="2" t="str">
        <f t="shared" si="2"/>
        <v/>
      </c>
      <c r="AH20" s="5">
        <f t="shared" si="10"/>
        <v>0</v>
      </c>
      <c r="AJ20" s="33" t="str">
        <f t="shared" ca="1" si="3"/>
        <v>GCW</v>
      </c>
    </row>
    <row r="21" spans="1:36" ht="12.75">
      <c r="A21" s="6">
        <v>4.1900000000000004</v>
      </c>
      <c r="B21" s="33"/>
      <c r="C21" s="33" t="s">
        <v>14</v>
      </c>
      <c r="D21" s="74"/>
      <c r="E21" s="75" t="str">
        <f t="shared" si="4"/>
        <v/>
      </c>
      <c r="F21" s="75" t="str">
        <f t="shared" si="5"/>
        <v/>
      </c>
      <c r="G21" s="75" t="str">
        <f t="shared" si="6"/>
        <v/>
      </c>
      <c r="H21" s="75" t="str">
        <f t="shared" si="7"/>
        <v/>
      </c>
      <c r="I21" s="75" t="str">
        <f t="shared" si="8"/>
        <v/>
      </c>
      <c r="J21" s="74" t="str">
        <f t="shared" ca="1" si="9"/>
        <v/>
      </c>
      <c r="K21" s="74" t="str">
        <f ca="1">INDIRECT(""&amp;$C21&amp;"!e21")</f>
        <v/>
      </c>
      <c r="L21" s="74" t="str">
        <f ca="1">INDIRECT(""&amp;$C21&amp;"!f21")</f>
        <v/>
      </c>
      <c r="M21" s="74" t="str">
        <f ca="1">INDIRECT(""&amp;$C21&amp;"!g21")</f>
        <v/>
      </c>
      <c r="N21" s="74" t="str">
        <f ca="1">INDIRECT(""&amp;$C21&amp;"!h21")</f>
        <v/>
      </c>
      <c r="O21" s="74" t="str">
        <f ca="1">INDIRECT(""&amp;$C21&amp;"!i21")</f>
        <v/>
      </c>
      <c r="P21" s="5" t="str">
        <f>IF(D21="","input starter in column D",IF(D21=D20,"not enough rest",IF(D21=D19,"not enough rest",(IF(D21=D18,"not enough rest",IF(D21=D17,"not enough rest","ok"))))))</f>
        <v>input starter in column D</v>
      </c>
      <c r="Q21" s="5" t="str">
        <f>IF(P21="not enough rest","input a DIFFERENT starter in column C","")</f>
        <v/>
      </c>
      <c r="R21" s="10">
        <v>4</v>
      </c>
      <c r="S21" s="20"/>
      <c r="T21" s="46" t="str">
        <f>IF(ISERROR((VLOOKUP(S21,Pitchers!$B$1:H$800,4,FALSE))),"",(VLOOKUP(S21,Pitchers!$B$1:H$800,4,FALSE)))</f>
        <v/>
      </c>
      <c r="U21" s="45" t="str">
        <f>IF(ISERROR((VLOOKUP(S21,Pitchers!B$2:AA$795,10,FALSE))),"",(VLOOKUP(S21,Pitchers!B$2:AA$795,10,FALSE)))</f>
        <v/>
      </c>
      <c r="V21" s="21"/>
      <c r="W21" s="46" t="str">
        <f>IF(ISERROR((VLOOKUP(S21,Pitchers!B$2:AA$795,13,FALSE))),"",(VLOOKUP(S21,Pitchers!B$2:AA$795,13,FALSE)))</f>
        <v/>
      </c>
      <c r="X21" s="47" t="str">
        <f>IF(ISERROR((VLOOKUP(S21,Pitchers!B$2:AA$795,11,FALSE))),"",(VLOOKUP(S21,Pitchers!B$2:AA$795,11,FALSE)))</f>
        <v/>
      </c>
      <c r="Y21" s="22"/>
      <c r="Z21" s="19"/>
      <c r="AA21" s="26"/>
      <c r="AB21" s="51" t="str">
        <f>IF(ISERROR((VLOOKUP(S21,Pitchers!B$2:AA$795,16,FALSE))),"",(VLOOKUP(S21,Pitchers!B$2:AA$795,16,FALSE)))</f>
        <v/>
      </c>
      <c r="AC21" s="52" t="str">
        <f>IF(ISERROR((VLOOKUP(S21,Pitchers!B$2:AA$795,17,FALSE))),"",(VLOOKUP(S21,Pitchers!B$2:AA$795,17,FALSE)))</f>
        <v/>
      </c>
      <c r="AD21" s="53" t="str">
        <f>IF(ISERROR((VLOOKUP(S21,Pitchers!B$2:AA$795,18,FALSE))),"",(VLOOKUP(S21,Pitchers!B$2:AA$795,18,FALSE)))</f>
        <v/>
      </c>
      <c r="AE21" s="11">
        <f t="shared" si="0"/>
        <v>0</v>
      </c>
      <c r="AF21" s="12" t="str">
        <f t="shared" si="1"/>
        <v/>
      </c>
      <c r="AG21" s="2" t="str">
        <f t="shared" si="2"/>
        <v/>
      </c>
      <c r="AH21" s="5">
        <f t="shared" si="10"/>
        <v>0</v>
      </c>
      <c r="AJ21" s="33" t="str">
        <f t="shared" ca="1" si="3"/>
        <v>GCW</v>
      </c>
    </row>
    <row r="22" spans="1:36" ht="12.75">
      <c r="A22" s="6">
        <v>4.2</v>
      </c>
      <c r="B22" s="33"/>
      <c r="C22" s="33"/>
      <c r="D22" s="74"/>
      <c r="E22" s="75"/>
      <c r="F22" s="75"/>
      <c r="G22" s="75"/>
      <c r="H22" s="75"/>
      <c r="I22" s="75"/>
      <c r="J22" s="74"/>
      <c r="K22" s="74"/>
      <c r="L22" s="74"/>
      <c r="M22" s="74"/>
      <c r="N22" s="74"/>
      <c r="O22" s="74"/>
      <c r="P22" s="1"/>
      <c r="Q22" s="1"/>
      <c r="R22" s="10"/>
      <c r="AE22" s="11">
        <f t="shared" si="0"/>
        <v>0</v>
      </c>
      <c r="AF22" s="12" t="str">
        <f t="shared" si="1"/>
        <v/>
      </c>
      <c r="AG22" s="2" t="str">
        <f t="shared" si="2"/>
        <v/>
      </c>
      <c r="AH22" s="5">
        <f t="shared" si="10"/>
        <v>0</v>
      </c>
      <c r="AJ22" s="33" t="str">
        <f t="shared" ca="1" si="3"/>
        <v/>
      </c>
    </row>
    <row r="23" spans="1:36" ht="12.75">
      <c r="A23" s="6">
        <v>4.21</v>
      </c>
      <c r="B23" s="33" t="s">
        <v>32</v>
      </c>
      <c r="C23" s="33" t="s">
        <v>1917</v>
      </c>
      <c r="D23" s="74"/>
      <c r="E23" s="75" t="str">
        <f t="shared" si="4"/>
        <v/>
      </c>
      <c r="F23" s="75" t="str">
        <f t="shared" si="5"/>
        <v/>
      </c>
      <c r="G23" s="75" t="str">
        <f t="shared" si="6"/>
        <v/>
      </c>
      <c r="H23" s="75" t="str">
        <f t="shared" si="7"/>
        <v/>
      </c>
      <c r="I23" s="75" t="str">
        <f t="shared" si="8"/>
        <v/>
      </c>
      <c r="J23" s="74" t="str">
        <f t="shared" ca="1" si="9"/>
        <v/>
      </c>
      <c r="K23" s="74" t="str">
        <f ca="1">INDIRECT(""&amp;$C23&amp;"!e23")</f>
        <v/>
      </c>
      <c r="L23" s="74" t="str">
        <f ca="1">INDIRECT(""&amp;$C23&amp;"!f23")</f>
        <v/>
      </c>
      <c r="M23" s="74" t="str">
        <f ca="1">INDIRECT(""&amp;$C23&amp;"!g23")</f>
        <v/>
      </c>
      <c r="N23" s="74" t="str">
        <f ca="1">INDIRECT(""&amp;$C23&amp;"!h23")</f>
        <v/>
      </c>
      <c r="O23" s="74" t="str">
        <f ca="1">INDIRECT(""&amp;$C23&amp;"!i23")</f>
        <v/>
      </c>
      <c r="P23" s="5" t="str">
        <f>IF(D23="","input starter in column D",IF(D23=D22,"not enough rest",IF(D23=D21,"not enough rest",(IF(D23=D20,"not enough rest",IF(D23=D19,"not enough rest","ok"))))))</f>
        <v>input starter in column D</v>
      </c>
      <c r="Q23" s="5" t="str">
        <f>IF(P23="not enough rest","input a DIFFERENT starter in column C","")</f>
        <v/>
      </c>
      <c r="R23" s="10">
        <v>1</v>
      </c>
      <c r="W23" s="13" t="s">
        <v>9</v>
      </c>
      <c r="X23" s="13"/>
      <c r="Y23" s="13"/>
      <c r="Z23" s="13"/>
      <c r="AA23" s="13"/>
      <c r="AB23" s="13"/>
      <c r="AC23" s="13"/>
      <c r="AD23" s="13"/>
      <c r="AE23" s="13">
        <f>SUM(AE3:AE22)</f>
        <v>0</v>
      </c>
      <c r="AG23" s="5" t="str">
        <f>IF(AE23&lt;&gt;162,"must have 162 starts","")</f>
        <v>must have 162 starts</v>
      </c>
      <c r="AH23" s="5">
        <f>SUM(AH3:AH22)</f>
        <v>0</v>
      </c>
      <c r="AJ23" s="33" t="str">
        <f t="shared" ca="1" si="3"/>
        <v>GCW</v>
      </c>
    </row>
    <row r="24" spans="1:36" ht="12.75">
      <c r="A24" s="6">
        <v>4.22</v>
      </c>
      <c r="B24" s="33" t="s">
        <v>32</v>
      </c>
      <c r="C24" s="33" t="s">
        <v>1917</v>
      </c>
      <c r="D24" s="74"/>
      <c r="E24" s="75" t="str">
        <f t="shared" si="4"/>
        <v/>
      </c>
      <c r="F24" s="75" t="str">
        <f t="shared" si="5"/>
        <v/>
      </c>
      <c r="G24" s="75" t="str">
        <f t="shared" si="6"/>
        <v/>
      </c>
      <c r="H24" s="75" t="str">
        <f t="shared" si="7"/>
        <v/>
      </c>
      <c r="I24" s="75" t="str">
        <f t="shared" si="8"/>
        <v/>
      </c>
      <c r="J24" s="74" t="str">
        <f t="shared" ca="1" si="9"/>
        <v/>
      </c>
      <c r="K24" s="74" t="str">
        <f ca="1">INDIRECT(""&amp;$C24&amp;"!e24")</f>
        <v/>
      </c>
      <c r="L24" s="74" t="str">
        <f ca="1">INDIRECT(""&amp;$C24&amp;"!f24")</f>
        <v/>
      </c>
      <c r="M24" s="74" t="str">
        <f ca="1">INDIRECT(""&amp;$C24&amp;"!g24")</f>
        <v/>
      </c>
      <c r="N24" s="74" t="str">
        <f ca="1">INDIRECT(""&amp;$C24&amp;"!h24")</f>
        <v/>
      </c>
      <c r="O24" s="74" t="str">
        <f ca="1">INDIRECT(""&amp;$C24&amp;"!i24")</f>
        <v/>
      </c>
      <c r="P24" s="5" t="str">
        <f>IF(D24="","input starter in column D",IF(D24=D23,"not enough rest",IF(D24=D22,"not enough rest",(IF(D24=D21,"not enough rest",IF(D24=D20,"not enough rest","ok"))))))</f>
        <v>input starter in column D</v>
      </c>
      <c r="Q24" s="5" t="str">
        <f>IF(P24="not enough rest","input a DIFFERENT starter in column C","")</f>
        <v/>
      </c>
      <c r="R24" s="10">
        <v>2</v>
      </c>
      <c r="AJ24" s="33" t="str">
        <f t="shared" ca="1" si="3"/>
        <v>GCW</v>
      </c>
    </row>
    <row r="25" spans="1:36" ht="12.75">
      <c r="A25" s="6">
        <v>4.2300000000000004</v>
      </c>
      <c r="B25" s="33" t="s">
        <v>32</v>
      </c>
      <c r="C25" s="33" t="s">
        <v>1917</v>
      </c>
      <c r="D25" s="74"/>
      <c r="E25" s="75" t="str">
        <f t="shared" si="4"/>
        <v/>
      </c>
      <c r="F25" s="75" t="str">
        <f t="shared" si="5"/>
        <v/>
      </c>
      <c r="G25" s="75" t="str">
        <f t="shared" si="6"/>
        <v/>
      </c>
      <c r="H25" s="75" t="str">
        <f t="shared" si="7"/>
        <v/>
      </c>
      <c r="I25" s="75" t="str">
        <f t="shared" si="8"/>
        <v/>
      </c>
      <c r="J25" s="74" t="str">
        <f t="shared" ca="1" si="9"/>
        <v/>
      </c>
      <c r="K25" s="74" t="str">
        <f ca="1">INDIRECT(""&amp;$C25&amp;"!e25")</f>
        <v/>
      </c>
      <c r="L25" s="74" t="str">
        <f ca="1">INDIRECT(""&amp;$C25&amp;"!f25")</f>
        <v/>
      </c>
      <c r="M25" s="74" t="str">
        <f ca="1">INDIRECT(""&amp;$C25&amp;"!g25")</f>
        <v/>
      </c>
      <c r="N25" s="74" t="str">
        <f ca="1">INDIRECT(""&amp;$C25&amp;"!h25")</f>
        <v/>
      </c>
      <c r="O25" s="74" t="str">
        <f ca="1">INDIRECT(""&amp;$C25&amp;"!i25")</f>
        <v/>
      </c>
      <c r="P25" s="5" t="str">
        <f>IF(D25="","input starter in column D",IF(D25=D24,"not enough rest",IF(D25=D23,"not enough rest",(IF(D25=D22,"not enough rest",IF(D25=D21,"not enough rest","ok"))))))</f>
        <v>input starter in column D</v>
      </c>
      <c r="Q25" s="5" t="str">
        <f>IF(P25="not enough rest","input a DIFFERENT starter in column C","")</f>
        <v/>
      </c>
      <c r="R25" s="10">
        <v>3</v>
      </c>
      <c r="AJ25" s="33" t="str">
        <f t="shared" ca="1" si="3"/>
        <v>GCW</v>
      </c>
    </row>
    <row r="26" spans="1:36" ht="12.75">
      <c r="A26" s="6">
        <v>4.24</v>
      </c>
      <c r="B26" s="33" t="s">
        <v>32</v>
      </c>
      <c r="C26" s="33" t="s">
        <v>1917</v>
      </c>
      <c r="D26" s="74"/>
      <c r="E26" s="75" t="str">
        <f t="shared" si="4"/>
        <v/>
      </c>
      <c r="F26" s="75" t="str">
        <f t="shared" si="5"/>
        <v/>
      </c>
      <c r="G26" s="75" t="str">
        <f t="shared" si="6"/>
        <v/>
      </c>
      <c r="H26" s="75" t="str">
        <f t="shared" si="7"/>
        <v/>
      </c>
      <c r="I26" s="75" t="str">
        <f t="shared" si="8"/>
        <v/>
      </c>
      <c r="J26" s="74" t="str">
        <f t="shared" ca="1" si="9"/>
        <v/>
      </c>
      <c r="K26" s="74" t="str">
        <f ca="1">INDIRECT(""&amp;$C26&amp;"!e26")</f>
        <v/>
      </c>
      <c r="L26" s="74" t="str">
        <f ca="1">INDIRECT(""&amp;$C26&amp;"!f26")</f>
        <v/>
      </c>
      <c r="M26" s="74" t="str">
        <f ca="1">INDIRECT(""&amp;$C26&amp;"!g26")</f>
        <v/>
      </c>
      <c r="N26" s="74" t="str">
        <f ca="1">INDIRECT(""&amp;$C26&amp;"!h26")</f>
        <v/>
      </c>
      <c r="O26" s="74" t="str">
        <f ca="1">INDIRECT(""&amp;$C26&amp;"!i26")</f>
        <v/>
      </c>
      <c r="P26" s="5" t="str">
        <f>IF(D26="","input starter in column D",IF(D26=D25,"not enough rest",IF(D26=D24,"not enough rest",(IF(D26=D23,"not enough rest",IF(D26=D22,"not enough rest","ok"))))))</f>
        <v>input starter in column D</v>
      </c>
      <c r="Q26" s="5" t="str">
        <f>IF(P26="not enough rest","input a DIFFERENT starter in column C","")</f>
        <v/>
      </c>
      <c r="R26" s="10">
        <v>4</v>
      </c>
      <c r="AJ26" s="33" t="str">
        <f t="shared" ca="1" si="3"/>
        <v>GCW</v>
      </c>
    </row>
    <row r="27" spans="1:36" ht="12.75">
      <c r="A27" s="6">
        <v>4.25</v>
      </c>
      <c r="B27" s="33"/>
      <c r="C27" s="33"/>
      <c r="D27" s="74"/>
      <c r="E27" s="75"/>
      <c r="F27" s="75"/>
      <c r="G27" s="75"/>
      <c r="H27" s="75"/>
      <c r="I27" s="75"/>
      <c r="J27" s="74"/>
      <c r="K27" s="74"/>
      <c r="L27" s="74"/>
      <c r="M27" s="74"/>
      <c r="N27" s="74"/>
      <c r="O27" s="74"/>
      <c r="P27" s="1"/>
      <c r="Q27" s="1"/>
      <c r="R27" s="10"/>
      <c r="AJ27" s="33" t="str">
        <f t="shared" ca="1" si="3"/>
        <v/>
      </c>
    </row>
    <row r="28" spans="1:36" ht="12.75">
      <c r="A28" s="6">
        <v>4.26</v>
      </c>
      <c r="B28" s="32" t="s">
        <v>32</v>
      </c>
      <c r="C28" s="33" t="s">
        <v>34</v>
      </c>
      <c r="D28" s="74"/>
      <c r="E28" s="75" t="str">
        <f t="shared" si="4"/>
        <v/>
      </c>
      <c r="F28" s="75" t="str">
        <f t="shared" si="5"/>
        <v/>
      </c>
      <c r="G28" s="75" t="str">
        <f t="shared" si="6"/>
        <v/>
      </c>
      <c r="H28" s="75" t="str">
        <f t="shared" si="7"/>
        <v/>
      </c>
      <c r="I28" s="75" t="str">
        <f t="shared" si="8"/>
        <v/>
      </c>
      <c r="J28" s="74" t="str">
        <f t="shared" ca="1" si="9"/>
        <v/>
      </c>
      <c r="K28" s="74" t="str">
        <f ca="1">INDIRECT(""&amp;$C28&amp;"!e28")</f>
        <v/>
      </c>
      <c r="L28" s="74" t="str">
        <f ca="1">INDIRECT(""&amp;$C28&amp;"!f28")</f>
        <v/>
      </c>
      <c r="M28" s="74" t="str">
        <f ca="1">INDIRECT(""&amp;$C28&amp;"!g28")</f>
        <v/>
      </c>
      <c r="N28" s="74" t="str">
        <f ca="1">INDIRECT(""&amp;$C28&amp;"!h28")</f>
        <v/>
      </c>
      <c r="O28" s="74" t="str">
        <f ca="1">INDIRECT(""&amp;$C28&amp;"!i28")</f>
        <v/>
      </c>
      <c r="P28" s="5" t="str">
        <f>IF(D28="","input starter in column D",IF(D28=D27,"not enough rest",IF(D28=D26,"not enough rest",(IF(D28=D25,"not enough rest",IF(D28=D24,"not enough rest","ok"))))))</f>
        <v>input starter in column D</v>
      </c>
      <c r="Q28" s="5" t="str">
        <f>IF(P28="not enough rest","input a DIFFERENT starter in column C","")</f>
        <v/>
      </c>
      <c r="R28" s="10">
        <v>1</v>
      </c>
      <c r="AJ28" s="33" t="str">
        <f t="shared" ca="1" si="3"/>
        <v>GCW</v>
      </c>
    </row>
    <row r="29" spans="1:36" ht="12.75">
      <c r="A29" s="6">
        <v>4.2699999999999996</v>
      </c>
      <c r="B29" s="32" t="s">
        <v>32</v>
      </c>
      <c r="C29" s="33" t="s">
        <v>34</v>
      </c>
      <c r="D29" s="74"/>
      <c r="E29" s="75" t="str">
        <f t="shared" si="4"/>
        <v/>
      </c>
      <c r="F29" s="75" t="str">
        <f t="shared" si="5"/>
        <v/>
      </c>
      <c r="G29" s="75" t="str">
        <f t="shared" si="6"/>
        <v/>
      </c>
      <c r="H29" s="75" t="str">
        <f t="shared" si="7"/>
        <v/>
      </c>
      <c r="I29" s="75" t="str">
        <f t="shared" si="8"/>
        <v/>
      </c>
      <c r="J29" s="74" t="str">
        <f t="shared" ca="1" si="9"/>
        <v/>
      </c>
      <c r="K29" s="74" t="str">
        <f ca="1">INDIRECT(""&amp;$C29&amp;"!e29")</f>
        <v/>
      </c>
      <c r="L29" s="74" t="str">
        <f ca="1">INDIRECT(""&amp;$C29&amp;"!f29")</f>
        <v/>
      </c>
      <c r="M29" s="74" t="str">
        <f ca="1">INDIRECT(""&amp;$C29&amp;"!g29")</f>
        <v/>
      </c>
      <c r="N29" s="74" t="str">
        <f ca="1">INDIRECT(""&amp;$C29&amp;"!h29")</f>
        <v/>
      </c>
      <c r="O29" s="74" t="str">
        <f ca="1">INDIRECT(""&amp;$C29&amp;"!i29")</f>
        <v/>
      </c>
      <c r="P29" s="5" t="str">
        <f>IF(D29="","input starter in column D",IF(D29=D28,"not enough rest",IF(D29=D27,"not enough rest",(IF(D29=D26,"not enough rest",IF(D29=D25,"not enough rest","ok"))))))</f>
        <v>input starter in column D</v>
      </c>
      <c r="Q29" s="5" t="str">
        <f>IF(P29="not enough rest","input a DIFFERENT starter in column C","")</f>
        <v/>
      </c>
      <c r="R29" s="10">
        <v>2</v>
      </c>
      <c r="AJ29" s="33" t="str">
        <f t="shared" ca="1" si="3"/>
        <v>GCW</v>
      </c>
    </row>
    <row r="30" spans="1:36" ht="12.75">
      <c r="A30" s="6">
        <v>4.28</v>
      </c>
      <c r="B30" s="32" t="s">
        <v>32</v>
      </c>
      <c r="C30" s="33" t="s">
        <v>34</v>
      </c>
      <c r="D30" s="74"/>
      <c r="E30" s="75" t="str">
        <f t="shared" si="4"/>
        <v/>
      </c>
      <c r="F30" s="75" t="str">
        <f t="shared" si="5"/>
        <v/>
      </c>
      <c r="G30" s="75" t="str">
        <f t="shared" si="6"/>
        <v/>
      </c>
      <c r="H30" s="75" t="str">
        <f t="shared" si="7"/>
        <v/>
      </c>
      <c r="I30" s="75" t="str">
        <f t="shared" si="8"/>
        <v/>
      </c>
      <c r="J30" s="74" t="str">
        <f t="shared" ca="1" si="9"/>
        <v/>
      </c>
      <c r="K30" s="74" t="str">
        <f ca="1">INDIRECT(""&amp;$C30&amp;"!e30")</f>
        <v/>
      </c>
      <c r="L30" s="74" t="str">
        <f ca="1">INDIRECT(""&amp;$C30&amp;"!f30")</f>
        <v/>
      </c>
      <c r="M30" s="74" t="str">
        <f ca="1">INDIRECT(""&amp;$C30&amp;"!g30")</f>
        <v/>
      </c>
      <c r="N30" s="74" t="str">
        <f ca="1">INDIRECT(""&amp;$C30&amp;"!h30")</f>
        <v/>
      </c>
      <c r="O30" s="74" t="str">
        <f ca="1">INDIRECT(""&amp;$C30&amp;"!i30")</f>
        <v/>
      </c>
      <c r="P30" s="5" t="str">
        <f>IF(D30="","input starter in column D",IF(D30=D29,"not enough rest",IF(D30=D28,"not enough rest",(IF(D30=D27,"not enough rest",IF(D30=D26,"not enough rest","ok"))))))</f>
        <v>input starter in column D</v>
      </c>
      <c r="Q30" s="5" t="str">
        <f>IF(P30="not enough rest","input a DIFFERENT starter in column C","")</f>
        <v/>
      </c>
      <c r="R30" s="10">
        <v>3</v>
      </c>
      <c r="AJ30" s="33" t="str">
        <f t="shared" ca="1" si="3"/>
        <v>GCW</v>
      </c>
    </row>
    <row r="31" spans="1:36" ht="12.75">
      <c r="A31" s="6">
        <v>4.29</v>
      </c>
      <c r="B31" s="32" t="s">
        <v>32</v>
      </c>
      <c r="C31" s="33" t="s">
        <v>34</v>
      </c>
      <c r="D31" s="74"/>
      <c r="E31" s="75" t="str">
        <f t="shared" si="4"/>
        <v/>
      </c>
      <c r="F31" s="75" t="str">
        <f t="shared" si="5"/>
        <v/>
      </c>
      <c r="G31" s="75" t="str">
        <f t="shared" si="6"/>
        <v/>
      </c>
      <c r="H31" s="75" t="str">
        <f t="shared" si="7"/>
        <v/>
      </c>
      <c r="I31" s="75" t="str">
        <f t="shared" si="8"/>
        <v/>
      </c>
      <c r="J31" s="74" t="str">
        <f t="shared" ca="1" si="9"/>
        <v/>
      </c>
      <c r="K31" s="74" t="str">
        <f ca="1">INDIRECT(""&amp;$C31&amp;"!e31")</f>
        <v/>
      </c>
      <c r="L31" s="74" t="str">
        <f ca="1">INDIRECT(""&amp;$C31&amp;"!f31")</f>
        <v/>
      </c>
      <c r="M31" s="74" t="str">
        <f ca="1">INDIRECT(""&amp;$C31&amp;"!g31")</f>
        <v/>
      </c>
      <c r="N31" s="74" t="str">
        <f ca="1">INDIRECT(""&amp;$C31&amp;"!h31")</f>
        <v/>
      </c>
      <c r="O31" s="74" t="str">
        <f ca="1">INDIRECT(""&amp;$C31&amp;"!i31")</f>
        <v/>
      </c>
      <c r="P31" s="5" t="str">
        <f>IF(D31="","input starter in column D",IF(D31=D30,"not enough rest",IF(D31=D29,"not enough rest",(IF(D31=D28,"not enough rest",IF(D31=D27,"not enough rest","ok"))))))</f>
        <v>input starter in column D</v>
      </c>
      <c r="Q31" s="5" t="str">
        <f>IF(P31="not enough rest","input a DIFFERENT starter in column C","")</f>
        <v/>
      </c>
      <c r="R31" s="10">
        <v>4</v>
      </c>
      <c r="AJ31" s="33" t="str">
        <f t="shared" ca="1" si="3"/>
        <v>GCW</v>
      </c>
    </row>
    <row r="32" spans="1:36" ht="12.75">
      <c r="A32" s="6">
        <v>4.3</v>
      </c>
      <c r="B32" s="32"/>
      <c r="C32" s="33"/>
      <c r="D32" s="74"/>
      <c r="E32" s="75"/>
      <c r="F32" s="75"/>
      <c r="G32" s="75"/>
      <c r="H32" s="75"/>
      <c r="I32" s="75"/>
      <c r="J32" s="74"/>
      <c r="K32" s="74"/>
      <c r="L32" s="74"/>
      <c r="M32" s="74"/>
      <c r="N32" s="74"/>
      <c r="O32" s="74"/>
      <c r="P32" s="1"/>
      <c r="Q32" s="1"/>
      <c r="R32" s="10"/>
      <c r="AJ32" s="33" t="str">
        <f t="shared" ca="1" si="3"/>
        <v/>
      </c>
    </row>
    <row r="33" spans="1:36" ht="12.75">
      <c r="A33" s="6">
        <v>5.01</v>
      </c>
      <c r="B33" s="32" t="s">
        <v>32</v>
      </c>
      <c r="C33" s="33" t="s">
        <v>53</v>
      </c>
      <c r="D33" s="74"/>
      <c r="E33" s="75" t="str">
        <f t="shared" si="4"/>
        <v/>
      </c>
      <c r="F33" s="75" t="str">
        <f t="shared" si="5"/>
        <v/>
      </c>
      <c r="G33" s="75" t="str">
        <f t="shared" si="6"/>
        <v/>
      </c>
      <c r="H33" s="75" t="str">
        <f t="shared" si="7"/>
        <v/>
      </c>
      <c r="I33" s="75" t="str">
        <f t="shared" si="8"/>
        <v/>
      </c>
      <c r="J33" s="74" t="str">
        <f t="shared" ca="1" si="9"/>
        <v/>
      </c>
      <c r="K33" s="74" t="str">
        <f ca="1">INDIRECT(""&amp;$C33&amp;"!e33")</f>
        <v/>
      </c>
      <c r="L33" s="74" t="str">
        <f ca="1">INDIRECT(""&amp;$C33&amp;"!f33")</f>
        <v/>
      </c>
      <c r="M33" s="74" t="str">
        <f ca="1">INDIRECT(""&amp;$C33&amp;"!g33")</f>
        <v/>
      </c>
      <c r="N33" s="74" t="str">
        <f ca="1">INDIRECT(""&amp;$C33&amp;"!h33")</f>
        <v/>
      </c>
      <c r="O33" s="74" t="str">
        <f ca="1">INDIRECT(""&amp;$C33&amp;"!i33")</f>
        <v/>
      </c>
      <c r="P33" s="5" t="str">
        <f t="shared" ref="P33:P40" si="11">IF(D33="","input starter in column D",IF(D33=D32,"not enough rest",IF(D33=D31,"not enough rest",(IF(D33=D30,"not enough rest",IF(D33=D29,"not enough rest","ok"))))))</f>
        <v>input starter in column D</v>
      </c>
      <c r="Q33" s="5" t="str">
        <f t="shared" ref="Q33:Q96" si="12">IF(P33="not enough rest","input a DIFFERENT starter in column C","")</f>
        <v/>
      </c>
      <c r="R33" s="10">
        <v>1</v>
      </c>
      <c r="AJ33" s="33" t="str">
        <f t="shared" ca="1" si="3"/>
        <v>GCW</v>
      </c>
    </row>
    <row r="34" spans="1:36" ht="12.75">
      <c r="A34" s="6">
        <v>5.0199999999999996</v>
      </c>
      <c r="B34" s="32" t="s">
        <v>32</v>
      </c>
      <c r="C34" s="33" t="s">
        <v>53</v>
      </c>
      <c r="D34" s="74"/>
      <c r="E34" s="75" t="str">
        <f t="shared" si="4"/>
        <v/>
      </c>
      <c r="F34" s="75" t="str">
        <f t="shared" si="5"/>
        <v/>
      </c>
      <c r="G34" s="75" t="str">
        <f t="shared" si="6"/>
        <v/>
      </c>
      <c r="H34" s="75" t="str">
        <f t="shared" si="7"/>
        <v/>
      </c>
      <c r="I34" s="75" t="str">
        <f t="shared" si="8"/>
        <v/>
      </c>
      <c r="J34" s="74" t="str">
        <f t="shared" ca="1" si="9"/>
        <v/>
      </c>
      <c r="K34" s="74" t="str">
        <f ca="1">INDIRECT(""&amp;$C34&amp;"!e34")</f>
        <v/>
      </c>
      <c r="L34" s="74" t="str">
        <f ca="1">INDIRECT(""&amp;$C34&amp;"!f34")</f>
        <v/>
      </c>
      <c r="M34" s="74" t="str">
        <f ca="1">INDIRECT(""&amp;$C34&amp;"!g34")</f>
        <v/>
      </c>
      <c r="N34" s="74" t="str">
        <f ca="1">INDIRECT(""&amp;$C34&amp;"!h34")</f>
        <v/>
      </c>
      <c r="O34" s="74" t="str">
        <f ca="1">INDIRECT(""&amp;$C34&amp;"!i34")</f>
        <v/>
      </c>
      <c r="P34" s="5" t="str">
        <f t="shared" si="11"/>
        <v>input starter in column D</v>
      </c>
      <c r="Q34" s="5" t="str">
        <f t="shared" si="12"/>
        <v/>
      </c>
      <c r="R34" s="10">
        <v>2</v>
      </c>
      <c r="AJ34" s="33" t="str">
        <f t="shared" ca="1" si="3"/>
        <v>GCW</v>
      </c>
    </row>
    <row r="35" spans="1:36" ht="12.75">
      <c r="A35" s="6">
        <v>5.03</v>
      </c>
      <c r="B35" s="32" t="s">
        <v>32</v>
      </c>
      <c r="C35" s="33" t="s">
        <v>53</v>
      </c>
      <c r="D35" s="74"/>
      <c r="E35" s="75" t="str">
        <f t="shared" si="4"/>
        <v/>
      </c>
      <c r="F35" s="75" t="str">
        <f t="shared" si="5"/>
        <v/>
      </c>
      <c r="G35" s="75" t="str">
        <f t="shared" si="6"/>
        <v/>
      </c>
      <c r="H35" s="75" t="str">
        <f t="shared" si="7"/>
        <v/>
      </c>
      <c r="I35" s="75" t="str">
        <f t="shared" si="8"/>
        <v/>
      </c>
      <c r="J35" s="74" t="str">
        <f t="shared" ca="1" si="9"/>
        <v/>
      </c>
      <c r="K35" s="74" t="str">
        <f ca="1">INDIRECT(""&amp;$C35&amp;"!e35")</f>
        <v/>
      </c>
      <c r="L35" s="74" t="str">
        <f ca="1">INDIRECT(""&amp;$C35&amp;"!f35")</f>
        <v/>
      </c>
      <c r="M35" s="74" t="str">
        <f ca="1">INDIRECT(""&amp;$C35&amp;"!g35")</f>
        <v/>
      </c>
      <c r="N35" s="74" t="str">
        <f ca="1">INDIRECT(""&amp;$C35&amp;"!h35")</f>
        <v/>
      </c>
      <c r="O35" s="74" t="str">
        <f ca="1">INDIRECT(""&amp;$C35&amp;"!i35")</f>
        <v/>
      </c>
      <c r="P35" s="5" t="str">
        <f t="shared" si="11"/>
        <v>input starter in column D</v>
      </c>
      <c r="Q35" s="5" t="str">
        <f t="shared" si="12"/>
        <v/>
      </c>
      <c r="R35" s="10">
        <v>3</v>
      </c>
      <c r="AJ35" s="33" t="str">
        <f t="shared" ca="1" si="3"/>
        <v>GCW</v>
      </c>
    </row>
    <row r="36" spans="1:36" ht="12.75">
      <c r="A36" s="6">
        <v>5.04</v>
      </c>
      <c r="B36" s="32" t="s">
        <v>32</v>
      </c>
      <c r="C36" s="33" t="s">
        <v>53</v>
      </c>
      <c r="D36" s="74"/>
      <c r="E36" s="75" t="str">
        <f t="shared" si="4"/>
        <v/>
      </c>
      <c r="F36" s="75" t="str">
        <f t="shared" si="5"/>
        <v/>
      </c>
      <c r="G36" s="75" t="str">
        <f t="shared" si="6"/>
        <v/>
      </c>
      <c r="H36" s="75" t="str">
        <f t="shared" si="7"/>
        <v/>
      </c>
      <c r="I36" s="75" t="str">
        <f t="shared" si="8"/>
        <v/>
      </c>
      <c r="J36" s="74" t="str">
        <f t="shared" ca="1" si="9"/>
        <v/>
      </c>
      <c r="K36" s="74" t="str">
        <f ca="1">INDIRECT(""&amp;$C36&amp;"!e36")</f>
        <v/>
      </c>
      <c r="L36" s="74" t="str">
        <f ca="1">INDIRECT(""&amp;$C36&amp;"!f36")</f>
        <v/>
      </c>
      <c r="M36" s="74" t="str">
        <f ca="1">INDIRECT(""&amp;$C36&amp;"!g36")</f>
        <v/>
      </c>
      <c r="N36" s="74" t="str">
        <f ca="1">INDIRECT(""&amp;$C36&amp;"!h36")</f>
        <v/>
      </c>
      <c r="O36" s="74" t="str">
        <f ca="1">INDIRECT(""&amp;$C36&amp;"!i36")</f>
        <v/>
      </c>
      <c r="P36" s="5" t="str">
        <f t="shared" si="11"/>
        <v>input starter in column D</v>
      </c>
      <c r="Q36" s="5" t="str">
        <f t="shared" si="12"/>
        <v/>
      </c>
      <c r="R36" s="10">
        <v>4</v>
      </c>
      <c r="AJ36" s="33" t="str">
        <f t="shared" ca="1" si="3"/>
        <v>GCW</v>
      </c>
    </row>
    <row r="37" spans="1:36" ht="12.75">
      <c r="A37" s="6">
        <v>5.05</v>
      </c>
      <c r="B37" s="33"/>
      <c r="C37" s="33" t="s">
        <v>43</v>
      </c>
      <c r="D37" s="74"/>
      <c r="E37" s="75" t="str">
        <f t="shared" si="4"/>
        <v/>
      </c>
      <c r="F37" s="75" t="str">
        <f t="shared" si="5"/>
        <v/>
      </c>
      <c r="G37" s="75" t="str">
        <f t="shared" si="6"/>
        <v/>
      </c>
      <c r="H37" s="75" t="str">
        <f t="shared" si="7"/>
        <v/>
      </c>
      <c r="I37" s="75" t="str">
        <f t="shared" si="8"/>
        <v/>
      </c>
      <c r="J37" s="74" t="str">
        <f t="shared" ca="1" si="9"/>
        <v/>
      </c>
      <c r="K37" s="74" t="str">
        <f ca="1">INDIRECT(""&amp;$C37&amp;"!e37")</f>
        <v/>
      </c>
      <c r="L37" s="74" t="str">
        <f ca="1">INDIRECT(""&amp;$C37&amp;"!f37")</f>
        <v/>
      </c>
      <c r="M37" s="74" t="str">
        <f ca="1">INDIRECT(""&amp;$C37&amp;"!g37")</f>
        <v/>
      </c>
      <c r="N37" s="74" t="str">
        <f ca="1">INDIRECT(""&amp;$C37&amp;"!h37")</f>
        <v/>
      </c>
      <c r="O37" s="74" t="str">
        <f ca="1">INDIRECT(""&amp;$C37&amp;"!i37")</f>
        <v/>
      </c>
      <c r="P37" s="5" t="str">
        <f t="shared" si="11"/>
        <v>input starter in column D</v>
      </c>
      <c r="Q37" s="5" t="str">
        <f t="shared" si="12"/>
        <v/>
      </c>
      <c r="R37" s="10">
        <v>5</v>
      </c>
      <c r="AJ37" s="33" t="str">
        <f t="shared" ca="1" si="3"/>
        <v>GCW</v>
      </c>
    </row>
    <row r="38" spans="1:36" ht="12.75">
      <c r="A38" s="6">
        <v>5.0599999999999996</v>
      </c>
      <c r="B38" s="33"/>
      <c r="C38" s="33" t="s">
        <v>43</v>
      </c>
      <c r="D38" s="74"/>
      <c r="E38" s="75" t="str">
        <f t="shared" si="4"/>
        <v/>
      </c>
      <c r="F38" s="75" t="str">
        <f t="shared" si="5"/>
        <v/>
      </c>
      <c r="G38" s="75" t="str">
        <f t="shared" si="6"/>
        <v/>
      </c>
      <c r="H38" s="75" t="str">
        <f t="shared" si="7"/>
        <v/>
      </c>
      <c r="I38" s="75" t="str">
        <f t="shared" si="8"/>
        <v/>
      </c>
      <c r="J38" s="74" t="str">
        <f t="shared" ca="1" si="9"/>
        <v/>
      </c>
      <c r="K38" s="74" t="str">
        <f ca="1">INDIRECT(""&amp;$C38&amp;"!e38")</f>
        <v/>
      </c>
      <c r="L38" s="74" t="str">
        <f ca="1">INDIRECT(""&amp;$C38&amp;"!f38")</f>
        <v/>
      </c>
      <c r="M38" s="74" t="str">
        <f ca="1">INDIRECT(""&amp;$C38&amp;"!g38")</f>
        <v/>
      </c>
      <c r="N38" s="74" t="str">
        <f ca="1">INDIRECT(""&amp;$C38&amp;"!h38")</f>
        <v/>
      </c>
      <c r="O38" s="74" t="str">
        <f ca="1">INDIRECT(""&amp;$C38&amp;"!i38")</f>
        <v/>
      </c>
      <c r="P38" s="5" t="str">
        <f t="shared" si="11"/>
        <v>input starter in column D</v>
      </c>
      <c r="Q38" s="5" t="str">
        <f t="shared" si="12"/>
        <v/>
      </c>
      <c r="R38" s="10">
        <v>1</v>
      </c>
      <c r="AJ38" s="33" t="str">
        <f t="shared" ca="1" si="3"/>
        <v>GCW</v>
      </c>
    </row>
    <row r="39" spans="1:36" ht="12.75">
      <c r="A39" s="6">
        <v>5.07</v>
      </c>
      <c r="B39" s="33"/>
      <c r="C39" s="33" t="s">
        <v>43</v>
      </c>
      <c r="D39" s="74"/>
      <c r="E39" s="75" t="str">
        <f t="shared" si="4"/>
        <v/>
      </c>
      <c r="F39" s="75" t="str">
        <f t="shared" si="5"/>
        <v/>
      </c>
      <c r="G39" s="75" t="str">
        <f t="shared" si="6"/>
        <v/>
      </c>
      <c r="H39" s="75" t="str">
        <f t="shared" si="7"/>
        <v/>
      </c>
      <c r="I39" s="75" t="str">
        <f t="shared" si="8"/>
        <v/>
      </c>
      <c r="J39" s="74" t="str">
        <f t="shared" ca="1" si="9"/>
        <v/>
      </c>
      <c r="K39" s="74" t="str">
        <f ca="1">INDIRECT(""&amp;$C39&amp;"!e39")</f>
        <v/>
      </c>
      <c r="L39" s="74" t="str">
        <f ca="1">INDIRECT(""&amp;$C39&amp;"!f39")</f>
        <v/>
      </c>
      <c r="M39" s="74" t="str">
        <f ca="1">INDIRECT(""&amp;$C39&amp;"!g39")</f>
        <v/>
      </c>
      <c r="N39" s="74" t="str">
        <f ca="1">INDIRECT(""&amp;$C39&amp;"!h39")</f>
        <v/>
      </c>
      <c r="O39" s="74" t="str">
        <f ca="1">INDIRECT(""&amp;$C39&amp;"!i39")</f>
        <v/>
      </c>
      <c r="P39" s="5" t="str">
        <f t="shared" si="11"/>
        <v>input starter in column D</v>
      </c>
      <c r="Q39" s="5" t="str">
        <f t="shared" si="12"/>
        <v/>
      </c>
      <c r="R39" s="10">
        <v>2</v>
      </c>
      <c r="AJ39" s="33" t="str">
        <f t="shared" ca="1" si="3"/>
        <v>GCW</v>
      </c>
    </row>
    <row r="40" spans="1:36" ht="12.75">
      <c r="A40" s="6">
        <v>5.08</v>
      </c>
      <c r="B40" s="33"/>
      <c r="C40" s="33" t="s">
        <v>43</v>
      </c>
      <c r="D40" s="74"/>
      <c r="E40" s="75" t="str">
        <f t="shared" si="4"/>
        <v/>
      </c>
      <c r="F40" s="75" t="str">
        <f t="shared" si="5"/>
        <v/>
      </c>
      <c r="G40" s="75" t="str">
        <f t="shared" si="6"/>
        <v/>
      </c>
      <c r="H40" s="75" t="str">
        <f t="shared" si="7"/>
        <v/>
      </c>
      <c r="I40" s="75" t="str">
        <f t="shared" si="8"/>
        <v/>
      </c>
      <c r="J40" s="74" t="str">
        <f t="shared" ca="1" si="9"/>
        <v/>
      </c>
      <c r="K40" s="74" t="str">
        <f ca="1">INDIRECT(""&amp;$C40&amp;"!e40")</f>
        <v/>
      </c>
      <c r="L40" s="74" t="str">
        <f ca="1">INDIRECT(""&amp;$C40&amp;"!f40")</f>
        <v/>
      </c>
      <c r="M40" s="74" t="str">
        <f ca="1">INDIRECT(""&amp;$C40&amp;"!g40")</f>
        <v/>
      </c>
      <c r="N40" s="74" t="str">
        <f ca="1">INDIRECT(""&amp;$C40&amp;"!h40")</f>
        <v/>
      </c>
      <c r="O40" s="74" t="str">
        <f ca="1">INDIRECT(""&amp;$C40&amp;"!i40")</f>
        <v/>
      </c>
      <c r="P40" s="5" t="str">
        <f t="shared" si="11"/>
        <v>input starter in column D</v>
      </c>
      <c r="Q40" s="5" t="str">
        <f t="shared" si="12"/>
        <v/>
      </c>
      <c r="R40" s="10">
        <v>3</v>
      </c>
      <c r="AJ40" s="33" t="str">
        <f t="shared" ca="1" si="3"/>
        <v>GCW</v>
      </c>
    </row>
    <row r="41" spans="1:36" ht="12.75">
      <c r="A41" s="6">
        <v>5.09</v>
      </c>
      <c r="B41" s="32"/>
      <c r="C41" s="33"/>
      <c r="D41" s="74"/>
      <c r="E41" s="75"/>
      <c r="F41" s="75"/>
      <c r="G41" s="75"/>
      <c r="H41" s="75"/>
      <c r="I41" s="75"/>
      <c r="J41" s="74"/>
      <c r="K41" s="74"/>
      <c r="L41" s="74"/>
      <c r="M41" s="74"/>
      <c r="N41" s="74"/>
      <c r="O41" s="74"/>
      <c r="P41" s="1"/>
      <c r="Q41" s="1"/>
      <c r="R41" s="10"/>
      <c r="AJ41" s="33" t="str">
        <f t="shared" ca="1" si="3"/>
        <v/>
      </c>
    </row>
    <row r="42" spans="1:36" ht="12.75">
      <c r="A42" s="6">
        <v>5.0999999999999996</v>
      </c>
      <c r="B42" s="33" t="s">
        <v>32</v>
      </c>
      <c r="C42" s="33" t="s">
        <v>16</v>
      </c>
      <c r="D42" s="74"/>
      <c r="E42" s="75" t="str">
        <f t="shared" si="4"/>
        <v/>
      </c>
      <c r="F42" s="75" t="str">
        <f t="shared" si="5"/>
        <v/>
      </c>
      <c r="G42" s="75" t="str">
        <f t="shared" si="6"/>
        <v/>
      </c>
      <c r="H42" s="75" t="str">
        <f t="shared" si="7"/>
        <v/>
      </c>
      <c r="I42" s="75" t="str">
        <f t="shared" si="8"/>
        <v/>
      </c>
      <c r="J42" s="74" t="str">
        <f t="shared" ca="1" si="9"/>
        <v/>
      </c>
      <c r="K42" s="74" t="str">
        <f ca="1">INDIRECT(""&amp;$C42&amp;"!e42")</f>
        <v/>
      </c>
      <c r="L42" s="74" t="str">
        <f ca="1">INDIRECT(""&amp;$C42&amp;"!f42")</f>
        <v/>
      </c>
      <c r="M42" s="74" t="str">
        <f ca="1">INDIRECT(""&amp;$C42&amp;"!g42")</f>
        <v/>
      </c>
      <c r="N42" s="74" t="str">
        <f ca="1">INDIRECT(""&amp;$C42&amp;"!h42")</f>
        <v/>
      </c>
      <c r="O42" s="74" t="str">
        <f ca="1">INDIRECT(""&amp;$C42&amp;"!i42")</f>
        <v/>
      </c>
      <c r="P42" s="5" t="str">
        <f t="shared" ref="P42:P47" si="13">IF(D42="","input starter in column D",IF(D42=D41,"not enough rest",IF(D42=D40,"not enough rest",(IF(D42=D39,"not enough rest",IF(D42=D38,"not enough rest","ok"))))))</f>
        <v>input starter in column D</v>
      </c>
      <c r="Q42" s="5" t="str">
        <f t="shared" si="12"/>
        <v/>
      </c>
      <c r="R42" s="10">
        <v>4</v>
      </c>
      <c r="AJ42" s="33" t="str">
        <f t="shared" ca="1" si="3"/>
        <v>GCW</v>
      </c>
    </row>
    <row r="43" spans="1:36" ht="12.75">
      <c r="A43" s="6">
        <v>5.1100000000000003</v>
      </c>
      <c r="B43" s="33" t="s">
        <v>32</v>
      </c>
      <c r="C43" s="33" t="s">
        <v>16</v>
      </c>
      <c r="D43" s="74"/>
      <c r="E43" s="75" t="str">
        <f t="shared" si="4"/>
        <v/>
      </c>
      <c r="F43" s="75" t="str">
        <f t="shared" si="5"/>
        <v/>
      </c>
      <c r="G43" s="75" t="str">
        <f t="shared" si="6"/>
        <v/>
      </c>
      <c r="H43" s="75" t="str">
        <f t="shared" si="7"/>
        <v/>
      </c>
      <c r="I43" s="75" t="str">
        <f t="shared" si="8"/>
        <v/>
      </c>
      <c r="J43" s="74" t="str">
        <f t="shared" ca="1" si="9"/>
        <v/>
      </c>
      <c r="K43" s="74" t="str">
        <f ca="1">INDIRECT(""&amp;$C43&amp;"!e43")</f>
        <v/>
      </c>
      <c r="L43" s="74" t="str">
        <f ca="1">INDIRECT(""&amp;$C43&amp;"!f43")</f>
        <v/>
      </c>
      <c r="M43" s="74" t="str">
        <f ca="1">INDIRECT(""&amp;$C43&amp;"!g43")</f>
        <v/>
      </c>
      <c r="N43" s="74" t="str">
        <f ca="1">INDIRECT(""&amp;$C43&amp;"!h43")</f>
        <v/>
      </c>
      <c r="O43" s="74" t="str">
        <f ca="1">INDIRECT(""&amp;$C43&amp;"!i43")</f>
        <v/>
      </c>
      <c r="P43" s="5" t="str">
        <f t="shared" si="13"/>
        <v>input starter in column D</v>
      </c>
      <c r="Q43" s="5" t="str">
        <f t="shared" si="12"/>
        <v/>
      </c>
      <c r="R43" s="10">
        <v>1</v>
      </c>
      <c r="AJ43" s="33" t="str">
        <f t="shared" ca="1" si="3"/>
        <v>GCW</v>
      </c>
    </row>
    <row r="44" spans="1:36" ht="12.75">
      <c r="A44" s="6">
        <v>5.12</v>
      </c>
      <c r="B44" s="33" t="s">
        <v>32</v>
      </c>
      <c r="C44" s="33" t="s">
        <v>16</v>
      </c>
      <c r="D44" s="74"/>
      <c r="E44" s="75" t="str">
        <f t="shared" si="4"/>
        <v/>
      </c>
      <c r="F44" s="75" t="str">
        <f t="shared" si="5"/>
        <v/>
      </c>
      <c r="G44" s="75" t="str">
        <f t="shared" si="6"/>
        <v/>
      </c>
      <c r="H44" s="75" t="str">
        <f t="shared" si="7"/>
        <v/>
      </c>
      <c r="I44" s="75" t="str">
        <f t="shared" si="8"/>
        <v/>
      </c>
      <c r="J44" s="74" t="str">
        <f t="shared" ca="1" si="9"/>
        <v/>
      </c>
      <c r="K44" s="74" t="str">
        <f ca="1">INDIRECT(""&amp;$C44&amp;"!e44")</f>
        <v/>
      </c>
      <c r="L44" s="74" t="str">
        <f ca="1">INDIRECT(""&amp;$C44&amp;"!f44")</f>
        <v/>
      </c>
      <c r="M44" s="74" t="str">
        <f ca="1">INDIRECT(""&amp;$C44&amp;"!g44")</f>
        <v/>
      </c>
      <c r="N44" s="74" t="str">
        <f ca="1">INDIRECT(""&amp;$C44&amp;"!h44")</f>
        <v/>
      </c>
      <c r="O44" s="74" t="str">
        <f ca="1">INDIRECT(""&amp;$C44&amp;"!i44")</f>
        <v/>
      </c>
      <c r="P44" s="5" t="str">
        <f t="shared" si="13"/>
        <v>input starter in column D</v>
      </c>
      <c r="Q44" s="5" t="str">
        <f t="shared" si="12"/>
        <v/>
      </c>
      <c r="R44" s="10">
        <v>2</v>
      </c>
      <c r="AJ44" s="33" t="str">
        <f t="shared" ca="1" si="3"/>
        <v>GCW</v>
      </c>
    </row>
    <row r="45" spans="1:36" ht="12.75">
      <c r="A45" s="6">
        <v>5.13</v>
      </c>
      <c r="B45" s="33" t="s">
        <v>32</v>
      </c>
      <c r="C45" s="33" t="s">
        <v>16</v>
      </c>
      <c r="D45" s="74"/>
      <c r="E45" s="75" t="str">
        <f t="shared" si="4"/>
        <v/>
      </c>
      <c r="F45" s="75" t="str">
        <f t="shared" si="5"/>
        <v/>
      </c>
      <c r="G45" s="75" t="str">
        <f t="shared" si="6"/>
        <v/>
      </c>
      <c r="H45" s="75" t="str">
        <f t="shared" si="7"/>
        <v/>
      </c>
      <c r="I45" s="75" t="str">
        <f t="shared" si="8"/>
        <v/>
      </c>
      <c r="J45" s="74" t="str">
        <f t="shared" ca="1" si="9"/>
        <v/>
      </c>
      <c r="K45" s="74" t="str">
        <f ca="1">INDIRECT(""&amp;$C45&amp;"!e45")</f>
        <v/>
      </c>
      <c r="L45" s="74" t="str">
        <f ca="1">INDIRECT(""&amp;$C45&amp;"!f45")</f>
        <v/>
      </c>
      <c r="M45" s="74" t="str">
        <f ca="1">INDIRECT(""&amp;$C45&amp;"!g45")</f>
        <v/>
      </c>
      <c r="N45" s="74" t="str">
        <f ca="1">INDIRECT(""&amp;$C45&amp;"!h45")</f>
        <v/>
      </c>
      <c r="O45" s="74" t="str">
        <f ca="1">INDIRECT(""&amp;$C45&amp;"!i45")</f>
        <v/>
      </c>
      <c r="P45" s="5" t="str">
        <f t="shared" si="13"/>
        <v>input starter in column D</v>
      </c>
      <c r="Q45" s="5" t="str">
        <f t="shared" si="12"/>
        <v/>
      </c>
      <c r="R45" s="10">
        <v>3</v>
      </c>
      <c r="AJ45" s="33" t="str">
        <f t="shared" ca="1" si="3"/>
        <v>GCW</v>
      </c>
    </row>
    <row r="46" spans="1:36" ht="12.75">
      <c r="A46" s="6">
        <v>5.14</v>
      </c>
      <c r="B46" s="33" t="s">
        <v>32</v>
      </c>
      <c r="C46" s="33" t="s">
        <v>41</v>
      </c>
      <c r="D46" s="74"/>
      <c r="E46" s="75" t="str">
        <f t="shared" si="4"/>
        <v/>
      </c>
      <c r="F46" s="75" t="str">
        <f t="shared" si="5"/>
        <v/>
      </c>
      <c r="G46" s="75" t="str">
        <f t="shared" si="6"/>
        <v/>
      </c>
      <c r="H46" s="75" t="str">
        <f t="shared" si="7"/>
        <v/>
      </c>
      <c r="I46" s="75" t="str">
        <f t="shared" si="8"/>
        <v/>
      </c>
      <c r="J46" s="74" t="str">
        <f t="shared" ca="1" si="9"/>
        <v/>
      </c>
      <c r="K46" s="74" t="str">
        <f ca="1">INDIRECT(""&amp;$C46&amp;"!e46")</f>
        <v/>
      </c>
      <c r="L46" s="74" t="str">
        <f ca="1">INDIRECT(""&amp;$C46&amp;"!f46")</f>
        <v/>
      </c>
      <c r="M46" s="74" t="str">
        <f ca="1">INDIRECT(""&amp;$C46&amp;"!g46")</f>
        <v/>
      </c>
      <c r="N46" s="74" t="str">
        <f ca="1">INDIRECT(""&amp;$C46&amp;"!h46")</f>
        <v/>
      </c>
      <c r="O46" s="74" t="str">
        <f ca="1">INDIRECT(""&amp;$C46&amp;"!i46")</f>
        <v/>
      </c>
      <c r="P46" s="5" t="str">
        <f t="shared" si="13"/>
        <v>input starter in column D</v>
      </c>
      <c r="Q46" s="5" t="str">
        <f t="shared" si="12"/>
        <v/>
      </c>
      <c r="R46" s="10">
        <v>5</v>
      </c>
      <c r="AJ46" s="33" t="str">
        <f t="shared" ca="1" si="3"/>
        <v>GCW</v>
      </c>
    </row>
    <row r="47" spans="1:36" ht="12.75">
      <c r="A47" s="6">
        <v>5.15</v>
      </c>
      <c r="B47" s="33" t="s">
        <v>32</v>
      </c>
      <c r="C47" s="33" t="s">
        <v>41</v>
      </c>
      <c r="D47" s="74"/>
      <c r="E47" s="75" t="str">
        <f t="shared" si="4"/>
        <v/>
      </c>
      <c r="F47" s="75" t="str">
        <f t="shared" si="5"/>
        <v/>
      </c>
      <c r="G47" s="75" t="str">
        <f t="shared" si="6"/>
        <v/>
      </c>
      <c r="H47" s="75" t="str">
        <f t="shared" si="7"/>
        <v/>
      </c>
      <c r="I47" s="75" t="str">
        <f t="shared" si="8"/>
        <v/>
      </c>
      <c r="J47" s="74" t="str">
        <f t="shared" ca="1" si="9"/>
        <v/>
      </c>
      <c r="K47" s="74" t="str">
        <f ca="1">INDIRECT(""&amp;$C47&amp;"!e47")</f>
        <v/>
      </c>
      <c r="L47" s="74" t="str">
        <f ca="1">INDIRECT(""&amp;$C47&amp;"!f47")</f>
        <v/>
      </c>
      <c r="M47" s="74" t="str">
        <f ca="1">INDIRECT(""&amp;$C47&amp;"!g47")</f>
        <v/>
      </c>
      <c r="N47" s="74" t="str">
        <f ca="1">INDIRECT(""&amp;$C47&amp;"!h47")</f>
        <v/>
      </c>
      <c r="O47" s="74" t="str">
        <f ca="1">INDIRECT(""&amp;$C47&amp;"!i47")</f>
        <v/>
      </c>
      <c r="P47" s="5" t="str">
        <f t="shared" si="13"/>
        <v>input starter in column D</v>
      </c>
      <c r="Q47" s="5" t="str">
        <f t="shared" si="12"/>
        <v/>
      </c>
      <c r="R47" s="10">
        <v>4</v>
      </c>
      <c r="AJ47" s="33" t="str">
        <f t="shared" ca="1" si="3"/>
        <v>GCW</v>
      </c>
    </row>
    <row r="48" spans="1:36" ht="12.75">
      <c r="A48" s="6">
        <v>5.16</v>
      </c>
      <c r="B48" s="34"/>
      <c r="C48" s="34"/>
      <c r="D48" s="74"/>
      <c r="E48" s="75"/>
      <c r="F48" s="75"/>
      <c r="G48" s="75"/>
      <c r="H48" s="75"/>
      <c r="I48" s="75"/>
      <c r="J48" s="74"/>
      <c r="K48" s="74"/>
      <c r="L48" s="74"/>
      <c r="M48" s="74"/>
      <c r="N48" s="74"/>
      <c r="O48" s="74"/>
      <c r="P48" s="1"/>
      <c r="Q48" s="1"/>
      <c r="R48" s="10"/>
      <c r="AJ48" s="33" t="str">
        <f t="shared" ca="1" si="3"/>
        <v/>
      </c>
    </row>
    <row r="49" spans="1:36" ht="12.75">
      <c r="A49" s="6">
        <v>5.17</v>
      </c>
      <c r="B49" s="33" t="s">
        <v>32</v>
      </c>
      <c r="C49" s="33" t="s">
        <v>41</v>
      </c>
      <c r="D49" s="74"/>
      <c r="E49" s="75" t="str">
        <f t="shared" si="4"/>
        <v/>
      </c>
      <c r="F49" s="75" t="str">
        <f t="shared" si="5"/>
        <v/>
      </c>
      <c r="G49" s="75" t="str">
        <f t="shared" si="6"/>
        <v/>
      </c>
      <c r="H49" s="75" t="str">
        <f t="shared" si="7"/>
        <v/>
      </c>
      <c r="I49" s="75" t="str">
        <f t="shared" si="8"/>
        <v/>
      </c>
      <c r="J49" s="74" t="str">
        <f t="shared" ca="1" si="9"/>
        <v/>
      </c>
      <c r="K49" s="74" t="str">
        <f ca="1">INDIRECT(""&amp;$C49&amp;"!e49")</f>
        <v/>
      </c>
      <c r="L49" s="74" t="str">
        <f ca="1">INDIRECT(""&amp;$C49&amp;"!f49")</f>
        <v/>
      </c>
      <c r="M49" s="74" t="str">
        <f ca="1">INDIRECT(""&amp;$C49&amp;"!g49")</f>
        <v/>
      </c>
      <c r="N49" s="74" t="str">
        <f ca="1">INDIRECT(""&amp;$C49&amp;"!h49")</f>
        <v/>
      </c>
      <c r="O49" s="74" t="str">
        <f ca="1">INDIRECT(""&amp;$C49&amp;"!i49")</f>
        <v/>
      </c>
      <c r="P49" s="5" t="str">
        <f t="shared" ref="P49:P54" si="14">IF(D49="","input starter in column D",IF(D49=D48,"not enough rest",IF(D49=D47,"not enough rest",(IF(D49=D46,"not enough rest",IF(D49=D45,"not enough rest","ok"))))))</f>
        <v>input starter in column D</v>
      </c>
      <c r="Q49" s="5" t="str">
        <f t="shared" si="12"/>
        <v/>
      </c>
      <c r="R49" s="10">
        <v>1</v>
      </c>
      <c r="AJ49" s="33" t="str">
        <f t="shared" ca="1" si="3"/>
        <v>GCW</v>
      </c>
    </row>
    <row r="50" spans="1:36" ht="12.75">
      <c r="A50" s="6">
        <v>5.18</v>
      </c>
      <c r="B50" s="33" t="s">
        <v>32</v>
      </c>
      <c r="C50" s="33" t="s">
        <v>41</v>
      </c>
      <c r="D50" s="74"/>
      <c r="E50" s="75" t="str">
        <f t="shared" si="4"/>
        <v/>
      </c>
      <c r="F50" s="75" t="str">
        <f t="shared" si="5"/>
        <v/>
      </c>
      <c r="G50" s="75" t="str">
        <f t="shared" si="6"/>
        <v/>
      </c>
      <c r="H50" s="75" t="str">
        <f t="shared" si="7"/>
        <v/>
      </c>
      <c r="I50" s="75" t="str">
        <f t="shared" si="8"/>
        <v/>
      </c>
      <c r="J50" s="74" t="str">
        <f t="shared" ca="1" si="9"/>
        <v/>
      </c>
      <c r="K50" s="74" t="str">
        <f ca="1">INDIRECT(""&amp;$C50&amp;"!e50")</f>
        <v/>
      </c>
      <c r="L50" s="74" t="str">
        <f ca="1">INDIRECT(""&amp;$C50&amp;"!f50")</f>
        <v/>
      </c>
      <c r="M50" s="74" t="str">
        <f ca="1">INDIRECT(""&amp;$C50&amp;"!g50")</f>
        <v/>
      </c>
      <c r="N50" s="74" t="str">
        <f ca="1">INDIRECT(""&amp;$C50&amp;"!h50")</f>
        <v/>
      </c>
      <c r="O50" s="74" t="str">
        <f ca="1">INDIRECT(""&amp;$C50&amp;"!i50")</f>
        <v/>
      </c>
      <c r="P50" s="5" t="str">
        <f t="shared" si="14"/>
        <v>input starter in column D</v>
      </c>
      <c r="Q50" s="5" t="str">
        <f t="shared" si="12"/>
        <v/>
      </c>
      <c r="R50" s="10">
        <v>2</v>
      </c>
      <c r="AJ50" s="33" t="str">
        <f t="shared" ca="1" si="3"/>
        <v>GCW</v>
      </c>
    </row>
    <row r="51" spans="1:36" ht="12.75">
      <c r="A51" s="6">
        <v>5.19</v>
      </c>
      <c r="B51" s="33"/>
      <c r="C51" s="33" t="s">
        <v>1918</v>
      </c>
      <c r="D51" s="74"/>
      <c r="E51" s="75" t="str">
        <f t="shared" si="4"/>
        <v/>
      </c>
      <c r="F51" s="75" t="str">
        <f t="shared" si="5"/>
        <v/>
      </c>
      <c r="G51" s="75" t="str">
        <f t="shared" si="6"/>
        <v/>
      </c>
      <c r="H51" s="75" t="str">
        <f t="shared" si="7"/>
        <v/>
      </c>
      <c r="I51" s="75" t="str">
        <f t="shared" si="8"/>
        <v/>
      </c>
      <c r="J51" s="74" t="str">
        <f t="shared" ca="1" si="9"/>
        <v/>
      </c>
      <c r="K51" s="74" t="str">
        <f ca="1">INDIRECT(""&amp;$C51&amp;"!e51")</f>
        <v/>
      </c>
      <c r="L51" s="74" t="str">
        <f ca="1">INDIRECT(""&amp;$C51&amp;"!f51")</f>
        <v/>
      </c>
      <c r="M51" s="74" t="str">
        <f ca="1">INDIRECT(""&amp;$C51&amp;"!g51")</f>
        <v/>
      </c>
      <c r="N51" s="74" t="str">
        <f ca="1">INDIRECT(""&amp;$C51&amp;"!h51")</f>
        <v/>
      </c>
      <c r="O51" s="74" t="str">
        <f ca="1">INDIRECT(""&amp;$C51&amp;"!i51")</f>
        <v/>
      </c>
      <c r="P51" s="5" t="str">
        <f t="shared" si="14"/>
        <v>input starter in column D</v>
      </c>
      <c r="Q51" s="5" t="str">
        <f t="shared" si="12"/>
        <v/>
      </c>
      <c r="R51" s="10">
        <v>3</v>
      </c>
      <c r="AJ51" s="33" t="str">
        <f t="shared" ca="1" si="3"/>
        <v>GCW</v>
      </c>
    </row>
    <row r="52" spans="1:36" ht="12.75">
      <c r="A52" s="6">
        <v>5.2</v>
      </c>
      <c r="B52" s="33"/>
      <c r="C52" s="33" t="s">
        <v>1918</v>
      </c>
      <c r="D52" s="74"/>
      <c r="E52" s="75" t="str">
        <f t="shared" si="4"/>
        <v/>
      </c>
      <c r="F52" s="75" t="str">
        <f t="shared" si="5"/>
        <v/>
      </c>
      <c r="G52" s="75" t="str">
        <f t="shared" si="6"/>
        <v/>
      </c>
      <c r="H52" s="75" t="str">
        <f t="shared" si="7"/>
        <v/>
      </c>
      <c r="I52" s="75" t="str">
        <f t="shared" si="8"/>
        <v/>
      </c>
      <c r="J52" s="74" t="str">
        <f t="shared" ca="1" si="9"/>
        <v/>
      </c>
      <c r="K52" s="74" t="str">
        <f ca="1">INDIRECT(""&amp;$C52&amp;"!e52")</f>
        <v/>
      </c>
      <c r="L52" s="74" t="str">
        <f ca="1">INDIRECT(""&amp;$C52&amp;"!f52")</f>
        <v/>
      </c>
      <c r="M52" s="74" t="str">
        <f ca="1">INDIRECT(""&amp;$C52&amp;"!g52")</f>
        <v/>
      </c>
      <c r="N52" s="74" t="str">
        <f ca="1">INDIRECT(""&amp;$C52&amp;"!h52")</f>
        <v/>
      </c>
      <c r="O52" s="74" t="str">
        <f ca="1">INDIRECT(""&amp;$C52&amp;"!i52")</f>
        <v/>
      </c>
      <c r="P52" s="5" t="str">
        <f t="shared" si="14"/>
        <v>input starter in column D</v>
      </c>
      <c r="Q52" s="5" t="str">
        <f t="shared" si="12"/>
        <v/>
      </c>
      <c r="R52" s="10">
        <v>4</v>
      </c>
      <c r="AJ52" s="33" t="str">
        <f t="shared" ca="1" si="3"/>
        <v>GCW</v>
      </c>
    </row>
    <row r="53" spans="1:36" ht="12.75">
      <c r="A53" s="6">
        <v>5.21</v>
      </c>
      <c r="B53" s="33"/>
      <c r="C53" s="33" t="s">
        <v>1918</v>
      </c>
      <c r="D53" s="74"/>
      <c r="E53" s="75" t="str">
        <f t="shared" si="4"/>
        <v/>
      </c>
      <c r="F53" s="75" t="str">
        <f t="shared" si="5"/>
        <v/>
      </c>
      <c r="G53" s="75" t="str">
        <f t="shared" si="6"/>
        <v/>
      </c>
      <c r="H53" s="75" t="str">
        <f t="shared" si="7"/>
        <v/>
      </c>
      <c r="I53" s="75" t="str">
        <f t="shared" si="8"/>
        <v/>
      </c>
      <c r="J53" s="74" t="str">
        <f t="shared" ca="1" si="9"/>
        <v/>
      </c>
      <c r="K53" s="74" t="str">
        <f ca="1">INDIRECT(""&amp;$C53&amp;"!e53")</f>
        <v/>
      </c>
      <c r="L53" s="74" t="str">
        <f ca="1">INDIRECT(""&amp;$C53&amp;"!f53")</f>
        <v/>
      </c>
      <c r="M53" s="74" t="str">
        <f ca="1">INDIRECT(""&amp;$C53&amp;"!g53")</f>
        <v/>
      </c>
      <c r="N53" s="74" t="str">
        <f ca="1">INDIRECT(""&amp;$C53&amp;"!h53")</f>
        <v/>
      </c>
      <c r="O53" s="74" t="str">
        <f ca="1">INDIRECT(""&amp;$C53&amp;"!i53")</f>
        <v/>
      </c>
      <c r="P53" s="5" t="str">
        <f t="shared" si="14"/>
        <v>input starter in column D</v>
      </c>
      <c r="Q53" s="5" t="str">
        <f t="shared" si="12"/>
        <v/>
      </c>
      <c r="R53" s="10">
        <v>5</v>
      </c>
      <c r="AJ53" s="33" t="str">
        <f t="shared" ca="1" si="3"/>
        <v>GCW</v>
      </c>
    </row>
    <row r="54" spans="1:36" ht="12.75">
      <c r="A54" s="6">
        <v>5.22</v>
      </c>
      <c r="B54" s="33"/>
      <c r="C54" s="33" t="s">
        <v>1918</v>
      </c>
      <c r="D54" s="74"/>
      <c r="E54" s="75" t="str">
        <f t="shared" si="4"/>
        <v/>
      </c>
      <c r="F54" s="75" t="str">
        <f t="shared" si="5"/>
        <v/>
      </c>
      <c r="G54" s="75" t="str">
        <f t="shared" si="6"/>
        <v/>
      </c>
      <c r="H54" s="75" t="str">
        <f t="shared" si="7"/>
        <v/>
      </c>
      <c r="I54" s="75" t="str">
        <f t="shared" si="8"/>
        <v/>
      </c>
      <c r="J54" s="74" t="str">
        <f t="shared" ca="1" si="9"/>
        <v/>
      </c>
      <c r="K54" s="74" t="str">
        <f ca="1">INDIRECT(""&amp;$C54&amp;"!e54")</f>
        <v/>
      </c>
      <c r="L54" s="74" t="str">
        <f ca="1">INDIRECT(""&amp;$C54&amp;"!f54")</f>
        <v/>
      </c>
      <c r="M54" s="74" t="str">
        <f ca="1">INDIRECT(""&amp;$C54&amp;"!g54")</f>
        <v/>
      </c>
      <c r="N54" s="74" t="str">
        <f ca="1">INDIRECT(""&amp;$C54&amp;"!h54")</f>
        <v/>
      </c>
      <c r="O54" s="74" t="str">
        <f ca="1">INDIRECT(""&amp;$C54&amp;"!i54")</f>
        <v/>
      </c>
      <c r="P54" s="5" t="str">
        <f t="shared" si="14"/>
        <v>input starter in column D</v>
      </c>
      <c r="Q54" s="5" t="str">
        <f t="shared" si="12"/>
        <v/>
      </c>
      <c r="R54" s="10">
        <v>1</v>
      </c>
      <c r="AJ54" s="33" t="str">
        <f t="shared" ca="1" si="3"/>
        <v>GCW</v>
      </c>
    </row>
    <row r="55" spans="1:36" ht="12.75">
      <c r="A55" s="6">
        <v>5.23</v>
      </c>
      <c r="B55" s="33"/>
      <c r="C55" s="33"/>
      <c r="D55" s="74"/>
      <c r="E55" s="75"/>
      <c r="F55" s="75"/>
      <c r="G55" s="75"/>
      <c r="H55" s="75"/>
      <c r="I55" s="75"/>
      <c r="J55" s="74"/>
      <c r="K55" s="74"/>
      <c r="L55" s="74"/>
      <c r="M55" s="74"/>
      <c r="N55" s="74"/>
      <c r="O55" s="74"/>
      <c r="P55" s="1"/>
      <c r="Q55" s="1"/>
      <c r="R55" s="10"/>
      <c r="AJ55" s="33" t="str">
        <f t="shared" ca="1" si="3"/>
        <v/>
      </c>
    </row>
    <row r="56" spans="1:36" ht="12.75">
      <c r="A56" s="6">
        <v>5.24</v>
      </c>
      <c r="B56" s="33" t="s">
        <v>32</v>
      </c>
      <c r="C56" s="33" t="s">
        <v>33</v>
      </c>
      <c r="D56" s="74"/>
      <c r="E56" s="75" t="str">
        <f t="shared" si="4"/>
        <v/>
      </c>
      <c r="F56" s="75" t="str">
        <f t="shared" si="5"/>
        <v/>
      </c>
      <c r="G56" s="75" t="str">
        <f t="shared" si="6"/>
        <v/>
      </c>
      <c r="H56" s="75" t="str">
        <f t="shared" si="7"/>
        <v/>
      </c>
      <c r="I56" s="75" t="str">
        <f t="shared" si="8"/>
        <v/>
      </c>
      <c r="J56" s="74" t="str">
        <f t="shared" ca="1" si="9"/>
        <v/>
      </c>
      <c r="K56" s="74" t="str">
        <f ca="1">INDIRECT(""&amp;$C56&amp;"!e56")</f>
        <v/>
      </c>
      <c r="L56" s="74" t="str">
        <f ca="1">INDIRECT(""&amp;$C56&amp;"!f56")</f>
        <v/>
      </c>
      <c r="M56" s="74" t="str">
        <f ca="1">INDIRECT(""&amp;$C56&amp;"!g56")</f>
        <v/>
      </c>
      <c r="N56" s="74" t="str">
        <f ca="1">INDIRECT(""&amp;$C56&amp;"!h56")</f>
        <v/>
      </c>
      <c r="O56" s="74" t="str">
        <f ca="1">INDIRECT(""&amp;$C56&amp;"!i56")</f>
        <v/>
      </c>
      <c r="P56" s="5" t="str">
        <f t="shared" ref="P56:P61" si="15">IF(D56="","input starter in column D",IF(D56=D55,"not enough rest",IF(D56=D54,"not enough rest",(IF(D56=D53,"not enough rest",IF(D56=D52,"not enough rest","ok"))))))</f>
        <v>input starter in column D</v>
      </c>
      <c r="Q56" s="5" t="str">
        <f t="shared" si="12"/>
        <v/>
      </c>
      <c r="R56" s="10">
        <v>2</v>
      </c>
      <c r="AJ56" s="33" t="str">
        <f t="shared" ca="1" si="3"/>
        <v>GCW</v>
      </c>
    </row>
    <row r="57" spans="1:36" ht="12.75">
      <c r="A57" s="6">
        <v>5.25</v>
      </c>
      <c r="B57" s="33" t="s">
        <v>32</v>
      </c>
      <c r="C57" s="33" t="s">
        <v>33</v>
      </c>
      <c r="D57" s="74"/>
      <c r="E57" s="75" t="str">
        <f t="shared" si="4"/>
        <v/>
      </c>
      <c r="F57" s="75" t="str">
        <f t="shared" si="5"/>
        <v/>
      </c>
      <c r="G57" s="75" t="str">
        <f t="shared" si="6"/>
        <v/>
      </c>
      <c r="H57" s="75" t="str">
        <f t="shared" si="7"/>
        <v/>
      </c>
      <c r="I57" s="75" t="str">
        <f t="shared" si="8"/>
        <v/>
      </c>
      <c r="J57" s="74" t="str">
        <f t="shared" ca="1" si="9"/>
        <v/>
      </c>
      <c r="K57" s="74" t="str">
        <f ca="1">INDIRECT(""&amp;$C57&amp;"!e57")</f>
        <v/>
      </c>
      <c r="L57" s="74" t="str">
        <f ca="1">INDIRECT(""&amp;$C57&amp;"!f57")</f>
        <v/>
      </c>
      <c r="M57" s="74" t="str">
        <f ca="1">INDIRECT(""&amp;$C57&amp;"!g57")</f>
        <v/>
      </c>
      <c r="N57" s="74" t="str">
        <f ca="1">INDIRECT(""&amp;$C57&amp;"!h57")</f>
        <v/>
      </c>
      <c r="O57" s="74" t="str">
        <f ca="1">INDIRECT(""&amp;$C57&amp;"!i57")</f>
        <v/>
      </c>
      <c r="P57" s="5" t="str">
        <f t="shared" si="15"/>
        <v>input starter in column D</v>
      </c>
      <c r="Q57" s="5" t="str">
        <f t="shared" si="12"/>
        <v/>
      </c>
      <c r="R57" s="10">
        <v>3</v>
      </c>
      <c r="AJ57" s="33" t="str">
        <f t="shared" ca="1" si="3"/>
        <v>GCW</v>
      </c>
    </row>
    <row r="58" spans="1:36" ht="12.75">
      <c r="A58" s="6">
        <v>5.26</v>
      </c>
      <c r="B58" s="33" t="s">
        <v>32</v>
      </c>
      <c r="C58" s="33" t="s">
        <v>33</v>
      </c>
      <c r="D58" s="74"/>
      <c r="E58" s="75" t="str">
        <f t="shared" si="4"/>
        <v/>
      </c>
      <c r="F58" s="75" t="str">
        <f t="shared" si="5"/>
        <v/>
      </c>
      <c r="G58" s="75" t="str">
        <f t="shared" si="6"/>
        <v/>
      </c>
      <c r="H58" s="75" t="str">
        <f t="shared" si="7"/>
        <v/>
      </c>
      <c r="I58" s="75" t="str">
        <f t="shared" si="8"/>
        <v/>
      </c>
      <c r="J58" s="74" t="str">
        <f t="shared" ca="1" si="9"/>
        <v/>
      </c>
      <c r="K58" s="74" t="str">
        <f ca="1">INDIRECT(""&amp;$C58&amp;"!e58")</f>
        <v/>
      </c>
      <c r="L58" s="74" t="str">
        <f ca="1">INDIRECT(""&amp;$C58&amp;"!f58")</f>
        <v/>
      </c>
      <c r="M58" s="74" t="str">
        <f ca="1">INDIRECT(""&amp;$C58&amp;"!g58")</f>
        <v/>
      </c>
      <c r="N58" s="74" t="str">
        <f ca="1">INDIRECT(""&amp;$C58&amp;"!h58")</f>
        <v/>
      </c>
      <c r="O58" s="74" t="str">
        <f ca="1">INDIRECT(""&amp;$C58&amp;"!i58")</f>
        <v/>
      </c>
      <c r="P58" s="5" t="str">
        <f t="shared" si="15"/>
        <v>input starter in column D</v>
      </c>
      <c r="Q58" s="5" t="str">
        <f t="shared" si="12"/>
        <v/>
      </c>
      <c r="R58" s="10">
        <v>4</v>
      </c>
      <c r="AJ58" s="33" t="str">
        <f t="shared" ca="1" si="3"/>
        <v>GCW</v>
      </c>
    </row>
    <row r="59" spans="1:36" ht="12.75">
      <c r="A59" s="6">
        <v>5.27</v>
      </c>
      <c r="B59" s="33" t="s">
        <v>32</v>
      </c>
      <c r="C59" s="33" t="s">
        <v>33</v>
      </c>
      <c r="D59" s="74"/>
      <c r="E59" s="75" t="str">
        <f t="shared" si="4"/>
        <v/>
      </c>
      <c r="F59" s="75" t="str">
        <f t="shared" si="5"/>
        <v/>
      </c>
      <c r="G59" s="75" t="str">
        <f t="shared" si="6"/>
        <v/>
      </c>
      <c r="H59" s="75" t="str">
        <f t="shared" si="7"/>
        <v/>
      </c>
      <c r="I59" s="75" t="str">
        <f t="shared" si="8"/>
        <v/>
      </c>
      <c r="J59" s="74" t="str">
        <f t="shared" ca="1" si="9"/>
        <v/>
      </c>
      <c r="K59" s="74" t="str">
        <f ca="1">INDIRECT(""&amp;$C59&amp;"!e59")</f>
        <v/>
      </c>
      <c r="L59" s="74" t="str">
        <f ca="1">INDIRECT(""&amp;$C59&amp;"!f59")</f>
        <v/>
      </c>
      <c r="M59" s="74" t="str">
        <f ca="1">INDIRECT(""&amp;$C59&amp;"!g59")</f>
        <v/>
      </c>
      <c r="N59" s="74" t="str">
        <f ca="1">INDIRECT(""&amp;$C59&amp;"!h59")</f>
        <v/>
      </c>
      <c r="O59" s="74" t="str">
        <f ca="1">INDIRECT(""&amp;$C59&amp;"!i59")</f>
        <v/>
      </c>
      <c r="P59" s="5" t="str">
        <f t="shared" si="15"/>
        <v>input starter in column D</v>
      </c>
      <c r="Q59" s="5" t="str">
        <f t="shared" si="12"/>
        <v/>
      </c>
      <c r="R59" s="10">
        <v>1</v>
      </c>
      <c r="AJ59" s="33" t="str">
        <f t="shared" ca="1" si="3"/>
        <v>GCW</v>
      </c>
    </row>
    <row r="60" spans="1:36" ht="12.75">
      <c r="A60" s="6">
        <v>5.28</v>
      </c>
      <c r="B60" s="33" t="s">
        <v>32</v>
      </c>
      <c r="C60" s="33" t="s">
        <v>17</v>
      </c>
      <c r="D60" s="74"/>
      <c r="E60" s="75" t="str">
        <f t="shared" si="4"/>
        <v/>
      </c>
      <c r="F60" s="75" t="str">
        <f t="shared" si="5"/>
        <v/>
      </c>
      <c r="G60" s="75" t="str">
        <f t="shared" si="6"/>
        <v/>
      </c>
      <c r="H60" s="75" t="str">
        <f t="shared" si="7"/>
        <v/>
      </c>
      <c r="I60" s="75" t="str">
        <f t="shared" si="8"/>
        <v/>
      </c>
      <c r="J60" s="74" t="str">
        <f t="shared" ca="1" si="9"/>
        <v/>
      </c>
      <c r="K60" s="74" t="str">
        <f ca="1">INDIRECT(""&amp;$C60&amp;"!e60")</f>
        <v/>
      </c>
      <c r="L60" s="74" t="str">
        <f ca="1">INDIRECT(""&amp;$C60&amp;"!f60")</f>
        <v/>
      </c>
      <c r="M60" s="74" t="str">
        <f ca="1">INDIRECT(""&amp;$C60&amp;"!g60")</f>
        <v/>
      </c>
      <c r="N60" s="74" t="str">
        <f ca="1">INDIRECT(""&amp;$C60&amp;"!h60")</f>
        <v/>
      </c>
      <c r="O60" s="74" t="str">
        <f ca="1">INDIRECT(""&amp;$C60&amp;"!i60")</f>
        <v/>
      </c>
      <c r="P60" s="5" t="str">
        <f t="shared" si="15"/>
        <v>input starter in column D</v>
      </c>
      <c r="Q60" s="5" t="str">
        <f t="shared" si="12"/>
        <v/>
      </c>
      <c r="R60" s="10">
        <v>5</v>
      </c>
      <c r="AJ60" s="33" t="str">
        <f t="shared" ca="1" si="3"/>
        <v>GCW</v>
      </c>
    </row>
    <row r="61" spans="1:36" ht="12.75">
      <c r="A61" s="6">
        <v>5.29</v>
      </c>
      <c r="B61" s="33" t="s">
        <v>32</v>
      </c>
      <c r="C61" s="33" t="s">
        <v>17</v>
      </c>
      <c r="D61" s="74"/>
      <c r="E61" s="75" t="str">
        <f t="shared" si="4"/>
        <v/>
      </c>
      <c r="F61" s="75" t="str">
        <f t="shared" si="5"/>
        <v/>
      </c>
      <c r="G61" s="75" t="str">
        <f t="shared" si="6"/>
        <v/>
      </c>
      <c r="H61" s="75" t="str">
        <f t="shared" si="7"/>
        <v/>
      </c>
      <c r="I61" s="75" t="str">
        <f t="shared" si="8"/>
        <v/>
      </c>
      <c r="J61" s="74" t="str">
        <f t="shared" ca="1" si="9"/>
        <v/>
      </c>
      <c r="K61" s="74" t="str">
        <f ca="1">INDIRECT(""&amp;$C61&amp;"!e61")</f>
        <v/>
      </c>
      <c r="L61" s="74" t="str">
        <f ca="1">INDIRECT(""&amp;$C61&amp;"!f61")</f>
        <v/>
      </c>
      <c r="M61" s="74" t="str">
        <f ca="1">INDIRECT(""&amp;$C61&amp;"!g61")</f>
        <v/>
      </c>
      <c r="N61" s="74" t="str">
        <f ca="1">INDIRECT(""&amp;$C61&amp;"!h61")</f>
        <v/>
      </c>
      <c r="O61" s="74" t="str">
        <f ca="1">INDIRECT(""&amp;$C61&amp;"!i61")</f>
        <v/>
      </c>
      <c r="P61" s="5" t="str">
        <f t="shared" si="15"/>
        <v>input starter in column D</v>
      </c>
      <c r="Q61" s="5" t="str">
        <f t="shared" si="12"/>
        <v/>
      </c>
      <c r="R61" s="10">
        <v>2</v>
      </c>
      <c r="AJ61" s="33" t="str">
        <f t="shared" ca="1" si="3"/>
        <v>GCW</v>
      </c>
    </row>
    <row r="62" spans="1:36" ht="12.75">
      <c r="A62" s="6">
        <v>5.3</v>
      </c>
      <c r="B62" s="34"/>
      <c r="C62" s="34"/>
      <c r="D62" s="74"/>
      <c r="E62" s="75"/>
      <c r="F62" s="75"/>
      <c r="G62" s="75"/>
      <c r="H62" s="75"/>
      <c r="I62" s="75"/>
      <c r="J62" s="74"/>
      <c r="K62" s="74"/>
      <c r="L62" s="74"/>
      <c r="M62" s="74"/>
      <c r="N62" s="74"/>
      <c r="O62" s="74"/>
      <c r="P62" s="1"/>
      <c r="Q62" s="1"/>
      <c r="R62" s="10"/>
      <c r="AJ62" s="33" t="str">
        <f t="shared" ca="1" si="3"/>
        <v/>
      </c>
    </row>
    <row r="63" spans="1:36" ht="12.75">
      <c r="A63" s="6">
        <v>5.31</v>
      </c>
      <c r="B63" s="33" t="s">
        <v>32</v>
      </c>
      <c r="C63" s="33" t="s">
        <v>17</v>
      </c>
      <c r="D63" s="74"/>
      <c r="E63" s="75" t="str">
        <f t="shared" si="4"/>
        <v/>
      </c>
      <c r="F63" s="75" t="str">
        <f t="shared" si="5"/>
        <v/>
      </c>
      <c r="G63" s="75" t="str">
        <f t="shared" si="6"/>
        <v/>
      </c>
      <c r="H63" s="75" t="str">
        <f t="shared" si="7"/>
        <v/>
      </c>
      <c r="I63" s="75" t="str">
        <f t="shared" si="8"/>
        <v/>
      </c>
      <c r="J63" s="74" t="str">
        <f t="shared" ca="1" si="9"/>
        <v/>
      </c>
      <c r="K63" s="74" t="str">
        <f ca="1">INDIRECT(""&amp;$C63&amp;"!e63")</f>
        <v/>
      </c>
      <c r="L63" s="74" t="str">
        <f ca="1">INDIRECT(""&amp;$C63&amp;"!f63")</f>
        <v/>
      </c>
      <c r="M63" s="74" t="str">
        <f ca="1">INDIRECT(""&amp;$C63&amp;"!g63")</f>
        <v/>
      </c>
      <c r="N63" s="74" t="str">
        <f ca="1">INDIRECT(""&amp;$C63&amp;"!h63")</f>
        <v/>
      </c>
      <c r="O63" s="74" t="str">
        <f ca="1">INDIRECT(""&amp;$C63&amp;"!i63")</f>
        <v/>
      </c>
      <c r="P63" s="5" t="str">
        <f t="shared" ref="P63:P69" si="16">IF(D63="","input starter in column D",IF(D63=D62,"not enough rest",IF(D63=D61,"not enough rest",(IF(D63=D60,"not enough rest",IF(D63=D59,"not enough rest","ok"))))))</f>
        <v>input starter in column D</v>
      </c>
      <c r="Q63" s="5" t="str">
        <f t="shared" si="12"/>
        <v/>
      </c>
      <c r="R63" s="10">
        <v>3</v>
      </c>
      <c r="AJ63" s="33" t="str">
        <f t="shared" ca="1" si="3"/>
        <v>GCW</v>
      </c>
    </row>
    <row r="64" spans="1:36" ht="12.75">
      <c r="A64" s="6">
        <v>6.01</v>
      </c>
      <c r="B64" s="33"/>
      <c r="C64" s="33" t="s">
        <v>13</v>
      </c>
      <c r="D64" s="74"/>
      <c r="E64" s="75" t="str">
        <f t="shared" si="4"/>
        <v/>
      </c>
      <c r="F64" s="75" t="str">
        <f t="shared" si="5"/>
        <v/>
      </c>
      <c r="G64" s="75" t="str">
        <f t="shared" si="6"/>
        <v/>
      </c>
      <c r="H64" s="75" t="str">
        <f t="shared" si="7"/>
        <v/>
      </c>
      <c r="I64" s="75" t="str">
        <f t="shared" si="8"/>
        <v/>
      </c>
      <c r="J64" s="74" t="str">
        <f t="shared" ca="1" si="9"/>
        <v/>
      </c>
      <c r="K64" s="74" t="str">
        <f ca="1">INDIRECT(""&amp;$C64&amp;"!e64")</f>
        <v/>
      </c>
      <c r="L64" s="74" t="str">
        <f ca="1">INDIRECT(""&amp;$C64&amp;"!f64")</f>
        <v/>
      </c>
      <c r="M64" s="74" t="str">
        <f ca="1">INDIRECT(""&amp;$C64&amp;"!g64")</f>
        <v/>
      </c>
      <c r="N64" s="74" t="str">
        <f ca="1">INDIRECT(""&amp;$C64&amp;"!h64")</f>
        <v/>
      </c>
      <c r="O64" s="74" t="str">
        <f ca="1">INDIRECT(""&amp;$C64&amp;"!i64")</f>
        <v/>
      </c>
      <c r="P64" s="5" t="str">
        <f t="shared" si="16"/>
        <v>input starter in column D</v>
      </c>
      <c r="Q64" s="5" t="str">
        <f t="shared" si="12"/>
        <v/>
      </c>
      <c r="R64" s="10">
        <v>1</v>
      </c>
      <c r="AJ64" s="33" t="str">
        <f t="shared" ca="1" si="3"/>
        <v>GCW</v>
      </c>
    </row>
    <row r="65" spans="1:36" ht="12.75">
      <c r="A65" s="6">
        <v>6.02</v>
      </c>
      <c r="B65" s="33"/>
      <c r="C65" s="33" t="s">
        <v>13</v>
      </c>
      <c r="D65" s="74"/>
      <c r="E65" s="75" t="str">
        <f t="shared" si="4"/>
        <v/>
      </c>
      <c r="F65" s="75" t="str">
        <f t="shared" si="5"/>
        <v/>
      </c>
      <c r="G65" s="75" t="str">
        <f t="shared" si="6"/>
        <v/>
      </c>
      <c r="H65" s="75" t="str">
        <f t="shared" si="7"/>
        <v/>
      </c>
      <c r="I65" s="75" t="str">
        <f t="shared" si="8"/>
        <v/>
      </c>
      <c r="J65" s="74" t="str">
        <f t="shared" ca="1" si="9"/>
        <v/>
      </c>
      <c r="K65" s="74" t="str">
        <f ca="1">INDIRECT(""&amp;$C65&amp;"!e65")</f>
        <v/>
      </c>
      <c r="L65" s="74" t="str">
        <f ca="1">INDIRECT(""&amp;$C65&amp;"!f65")</f>
        <v/>
      </c>
      <c r="M65" s="74" t="str">
        <f ca="1">INDIRECT(""&amp;$C65&amp;"!g65")</f>
        <v/>
      </c>
      <c r="N65" s="74" t="str">
        <f ca="1">INDIRECT(""&amp;$C65&amp;"!h65")</f>
        <v/>
      </c>
      <c r="O65" s="74" t="str">
        <f ca="1">INDIRECT(""&amp;$C65&amp;"!i65")</f>
        <v/>
      </c>
      <c r="P65" s="5" t="str">
        <f t="shared" si="16"/>
        <v>input starter in column D</v>
      </c>
      <c r="Q65" s="5" t="str">
        <f t="shared" si="12"/>
        <v/>
      </c>
      <c r="R65" s="10">
        <v>4</v>
      </c>
      <c r="AJ65" s="33" t="str">
        <f t="shared" ca="1" si="3"/>
        <v>GCW</v>
      </c>
    </row>
    <row r="66" spans="1:36" ht="12.75">
      <c r="A66" s="6">
        <v>6.03</v>
      </c>
      <c r="B66" s="33"/>
      <c r="C66" s="33" t="s">
        <v>13</v>
      </c>
      <c r="D66" s="74"/>
      <c r="E66" s="75" t="str">
        <f t="shared" si="4"/>
        <v/>
      </c>
      <c r="F66" s="75" t="str">
        <f t="shared" si="5"/>
        <v/>
      </c>
      <c r="G66" s="75" t="str">
        <f t="shared" si="6"/>
        <v/>
      </c>
      <c r="H66" s="75" t="str">
        <f t="shared" si="7"/>
        <v/>
      </c>
      <c r="I66" s="75" t="str">
        <f t="shared" si="8"/>
        <v/>
      </c>
      <c r="J66" s="74" t="str">
        <f t="shared" ca="1" si="9"/>
        <v/>
      </c>
      <c r="K66" s="74" t="str">
        <f ca="1">INDIRECT(""&amp;$C66&amp;"!e66")</f>
        <v/>
      </c>
      <c r="L66" s="74" t="str">
        <f ca="1">INDIRECT(""&amp;$C66&amp;"!f66")</f>
        <v/>
      </c>
      <c r="M66" s="74" t="str">
        <f ca="1">INDIRECT(""&amp;$C66&amp;"!g66")</f>
        <v/>
      </c>
      <c r="N66" s="74" t="str">
        <f ca="1">INDIRECT(""&amp;$C66&amp;"!h66")</f>
        <v/>
      </c>
      <c r="O66" s="74" t="str">
        <f ca="1">INDIRECT(""&amp;$C66&amp;"!i66")</f>
        <v/>
      </c>
      <c r="P66" s="5" t="str">
        <f t="shared" si="16"/>
        <v>input starter in column D</v>
      </c>
      <c r="Q66" s="5" t="str">
        <f t="shared" si="12"/>
        <v/>
      </c>
      <c r="R66" s="10">
        <v>2</v>
      </c>
      <c r="AJ66" s="33" t="str">
        <f t="shared" ca="1" si="3"/>
        <v>GCW</v>
      </c>
    </row>
    <row r="67" spans="1:36" ht="12.75">
      <c r="A67" s="6">
        <v>6.04</v>
      </c>
      <c r="B67" s="33"/>
      <c r="C67" s="33" t="s">
        <v>13</v>
      </c>
      <c r="D67" s="74"/>
      <c r="E67" s="75" t="str">
        <f t="shared" si="4"/>
        <v/>
      </c>
      <c r="F67" s="75" t="str">
        <f t="shared" si="5"/>
        <v/>
      </c>
      <c r="G67" s="75" t="str">
        <f t="shared" si="6"/>
        <v/>
      </c>
      <c r="H67" s="75" t="str">
        <f t="shared" si="7"/>
        <v/>
      </c>
      <c r="I67" s="75" t="str">
        <f t="shared" si="8"/>
        <v/>
      </c>
      <c r="J67" s="74" t="str">
        <f t="shared" ca="1" si="9"/>
        <v/>
      </c>
      <c r="K67" s="74" t="str">
        <f ca="1">INDIRECT(""&amp;$C67&amp;"!e67")</f>
        <v/>
      </c>
      <c r="L67" s="74" t="str">
        <f ca="1">INDIRECT(""&amp;$C67&amp;"!f67")</f>
        <v/>
      </c>
      <c r="M67" s="74" t="str">
        <f ca="1">INDIRECT(""&amp;$C67&amp;"!g67")</f>
        <v/>
      </c>
      <c r="N67" s="74" t="str">
        <f ca="1">INDIRECT(""&amp;$C67&amp;"!h67")</f>
        <v/>
      </c>
      <c r="O67" s="74" t="str">
        <f ca="1">INDIRECT(""&amp;$C67&amp;"!i67")</f>
        <v/>
      </c>
      <c r="P67" s="5" t="str">
        <f t="shared" si="16"/>
        <v>input starter in column D</v>
      </c>
      <c r="Q67" s="5" t="str">
        <f t="shared" si="12"/>
        <v/>
      </c>
      <c r="R67" s="10">
        <v>5</v>
      </c>
      <c r="AJ67" s="33" t="str">
        <f t="shared" ref="AJ67:AJ130" ca="1" si="17">IF(ISERROR((INDIRECT(""&amp;$C67&amp;"!c"&amp;ROW(C67)))),"",(INDIRECT(""&amp;$C67&amp;"!c"&amp;ROW(C67))))</f>
        <v>GCW</v>
      </c>
    </row>
    <row r="68" spans="1:36" ht="12.75">
      <c r="A68" s="6">
        <v>6.05</v>
      </c>
      <c r="B68" s="32" t="s">
        <v>32</v>
      </c>
      <c r="C68" s="33" t="s">
        <v>35</v>
      </c>
      <c r="D68" s="74"/>
      <c r="E68" s="75" t="str">
        <f t="shared" ref="E68:E131" si="18">IF(ISERROR((VLOOKUP($D68,$S$3:$AE$22,3,FALSE))),"",(VLOOKUP($D68,$S$3:$AE$22,3,FALSE)))</f>
        <v/>
      </c>
      <c r="F68" s="75" t="str">
        <f t="shared" ref="F68:F131" si="19">IF(ISERROR((VLOOKUP($D68,$S$3:$AE$22,5,FALSE))),"",(VLOOKUP($D68,$S$3:$AE$22,5,FALSE)))</f>
        <v/>
      </c>
      <c r="G68" s="75" t="str">
        <f t="shared" ref="G68:G131" si="20">IF(ISERROR((VLOOKUP($D68,$S$3:$AE$22,10,FALSE))),"",(VLOOKUP($D68,$S$3:$AE$22,10,FALSE)))</f>
        <v/>
      </c>
      <c r="H68" s="75" t="str">
        <f t="shared" ref="H68:H131" si="21">IF(ISERROR((VLOOKUP($D68,$S$3:$AE$22,11,FALSE))),"",(VLOOKUP($D68,$S$3:$AE$22,11,FALSE)))</f>
        <v/>
      </c>
      <c r="I68" s="75" t="str">
        <f t="shared" ref="I68:I131" si="22">IF(ISERROR((VLOOKUP($D68,$S$3:$AE$22,12,FALSE))),"",(VLOOKUP($D68,$S$3:$AE$22,12,FALSE)))</f>
        <v/>
      </c>
      <c r="J68" s="74" t="str">
        <f t="shared" ref="J68:J131" ca="1" si="23">IF(INDIRECT(""&amp;$C68&amp;"!d"&amp;ROW(A68))="","",INDIRECT(""&amp;$C68&amp;"!d"&amp;ROW(A68)))</f>
        <v/>
      </c>
      <c r="K68" s="74" t="str">
        <f ca="1">INDIRECT(""&amp;$C68&amp;"!e68")</f>
        <v/>
      </c>
      <c r="L68" s="74" t="str">
        <f ca="1">INDIRECT(""&amp;$C68&amp;"!f68")</f>
        <v/>
      </c>
      <c r="M68" s="74" t="str">
        <f ca="1">INDIRECT(""&amp;$C68&amp;"!g68")</f>
        <v/>
      </c>
      <c r="N68" s="74" t="str">
        <f ca="1">INDIRECT(""&amp;$C68&amp;"!h68")</f>
        <v/>
      </c>
      <c r="O68" s="74" t="str">
        <f ca="1">INDIRECT(""&amp;$C68&amp;"!i68")</f>
        <v/>
      </c>
      <c r="P68" s="5" t="str">
        <f t="shared" si="16"/>
        <v>input starter in column D</v>
      </c>
      <c r="Q68" s="5" t="str">
        <f t="shared" si="12"/>
        <v/>
      </c>
      <c r="R68" s="10">
        <v>3</v>
      </c>
      <c r="AJ68" s="33" t="str">
        <f t="shared" ca="1" si="17"/>
        <v>GCW</v>
      </c>
    </row>
    <row r="69" spans="1:36" ht="12.75">
      <c r="A69" s="6">
        <v>6.06</v>
      </c>
      <c r="B69" s="32" t="s">
        <v>32</v>
      </c>
      <c r="C69" s="33" t="s">
        <v>35</v>
      </c>
      <c r="D69" s="74"/>
      <c r="E69" s="75" t="str">
        <f t="shared" si="18"/>
        <v/>
      </c>
      <c r="F69" s="75" t="str">
        <f t="shared" si="19"/>
        <v/>
      </c>
      <c r="G69" s="75" t="str">
        <f t="shared" si="20"/>
        <v/>
      </c>
      <c r="H69" s="75" t="str">
        <f t="shared" si="21"/>
        <v/>
      </c>
      <c r="I69" s="75" t="str">
        <f t="shared" si="22"/>
        <v/>
      </c>
      <c r="J69" s="74" t="str">
        <f t="shared" ca="1" si="23"/>
        <v/>
      </c>
      <c r="K69" s="74" t="str">
        <f ca="1">INDIRECT(""&amp;$C69&amp;"!e69")</f>
        <v/>
      </c>
      <c r="L69" s="74" t="str">
        <f ca="1">INDIRECT(""&amp;$C69&amp;"!f69")</f>
        <v/>
      </c>
      <c r="M69" s="74" t="str">
        <f ca="1">INDIRECT(""&amp;$C69&amp;"!g69")</f>
        <v/>
      </c>
      <c r="N69" s="74" t="str">
        <f ca="1">INDIRECT(""&amp;$C69&amp;"!h69")</f>
        <v/>
      </c>
      <c r="O69" s="74" t="str">
        <f ca="1">INDIRECT(""&amp;$C69&amp;"!i69")</f>
        <v/>
      </c>
      <c r="P69" s="5" t="str">
        <f t="shared" si="16"/>
        <v>input starter in column D</v>
      </c>
      <c r="Q69" s="5" t="str">
        <f t="shared" si="12"/>
        <v/>
      </c>
      <c r="R69" s="10">
        <v>1</v>
      </c>
      <c r="AJ69" s="33" t="str">
        <f t="shared" ca="1" si="17"/>
        <v>GCW</v>
      </c>
    </row>
    <row r="70" spans="1:36" ht="12.75">
      <c r="A70" s="6">
        <v>6.07</v>
      </c>
      <c r="B70" s="32"/>
      <c r="C70" s="33"/>
      <c r="D70" s="74"/>
      <c r="E70" s="75"/>
      <c r="F70" s="75"/>
      <c r="G70" s="75"/>
      <c r="H70" s="75"/>
      <c r="I70" s="75"/>
      <c r="J70" s="74"/>
      <c r="K70" s="74"/>
      <c r="L70" s="74"/>
      <c r="M70" s="74"/>
      <c r="N70" s="74"/>
      <c r="O70" s="74"/>
      <c r="P70" s="1"/>
      <c r="Q70" s="1"/>
      <c r="R70" s="10"/>
      <c r="AJ70" s="33" t="str">
        <f t="shared" ca="1" si="17"/>
        <v/>
      </c>
    </row>
    <row r="71" spans="1:36" ht="12.75">
      <c r="A71" s="6">
        <v>6.08</v>
      </c>
      <c r="B71" s="32" t="s">
        <v>32</v>
      </c>
      <c r="C71" s="33" t="s">
        <v>35</v>
      </c>
      <c r="D71" s="74"/>
      <c r="E71" s="75" t="str">
        <f t="shared" si="18"/>
        <v/>
      </c>
      <c r="F71" s="75" t="str">
        <f t="shared" si="19"/>
        <v/>
      </c>
      <c r="G71" s="75" t="str">
        <f t="shared" si="20"/>
        <v/>
      </c>
      <c r="H71" s="75" t="str">
        <f t="shared" si="21"/>
        <v/>
      </c>
      <c r="I71" s="75" t="str">
        <f t="shared" si="22"/>
        <v/>
      </c>
      <c r="J71" s="74" t="str">
        <f t="shared" ca="1" si="23"/>
        <v/>
      </c>
      <c r="K71" s="74" t="str">
        <f ca="1">INDIRECT(""&amp;$C71&amp;"!e71")</f>
        <v/>
      </c>
      <c r="L71" s="74" t="str">
        <f ca="1">INDIRECT(""&amp;$C71&amp;"!f71")</f>
        <v/>
      </c>
      <c r="M71" s="74" t="str">
        <f ca="1">INDIRECT(""&amp;$C71&amp;"!g71")</f>
        <v/>
      </c>
      <c r="N71" s="74" t="str">
        <f ca="1">INDIRECT(""&amp;$C71&amp;"!h71")</f>
        <v/>
      </c>
      <c r="O71" s="74" t="str">
        <f ca="1">INDIRECT(""&amp;$C71&amp;"!i71")</f>
        <v/>
      </c>
      <c r="P71" s="5" t="str">
        <f t="shared" ref="P71:P82" si="24">IF(D71="","input starter in column D",IF(D71=D70,"not enough rest",IF(D71=D69,"not enough rest",(IF(D71=D68,"not enough rest",IF(D71=D67,"not enough rest","ok"))))))</f>
        <v>input starter in column D</v>
      </c>
      <c r="Q71" s="5" t="str">
        <f t="shared" si="12"/>
        <v/>
      </c>
      <c r="R71" s="10">
        <v>2</v>
      </c>
      <c r="AJ71" s="33" t="str">
        <f t="shared" ca="1" si="17"/>
        <v>GCW</v>
      </c>
    </row>
    <row r="72" spans="1:36" ht="12.75">
      <c r="A72" s="6">
        <v>6.09</v>
      </c>
      <c r="B72" s="32" t="s">
        <v>32</v>
      </c>
      <c r="C72" s="33" t="s">
        <v>35</v>
      </c>
      <c r="D72" s="74"/>
      <c r="E72" s="75" t="str">
        <f t="shared" si="18"/>
        <v/>
      </c>
      <c r="F72" s="75" t="str">
        <f t="shared" si="19"/>
        <v/>
      </c>
      <c r="G72" s="75" t="str">
        <f t="shared" si="20"/>
        <v/>
      </c>
      <c r="H72" s="75" t="str">
        <f t="shared" si="21"/>
        <v/>
      </c>
      <c r="I72" s="75" t="str">
        <f t="shared" si="22"/>
        <v/>
      </c>
      <c r="J72" s="74" t="str">
        <f t="shared" ca="1" si="23"/>
        <v/>
      </c>
      <c r="K72" s="74" t="str">
        <f ca="1">INDIRECT(""&amp;$C72&amp;"!e72")</f>
        <v/>
      </c>
      <c r="L72" s="74" t="str">
        <f ca="1">INDIRECT(""&amp;$C72&amp;"!f72")</f>
        <v/>
      </c>
      <c r="M72" s="74" t="str">
        <f ca="1">INDIRECT(""&amp;$C72&amp;"!g72")</f>
        <v/>
      </c>
      <c r="N72" s="74" t="str">
        <f ca="1">INDIRECT(""&amp;$C72&amp;"!h72")</f>
        <v/>
      </c>
      <c r="O72" s="74" t="str">
        <f ca="1">INDIRECT(""&amp;$C72&amp;"!i72")</f>
        <v/>
      </c>
      <c r="P72" s="5" t="str">
        <f t="shared" si="24"/>
        <v>input starter in column D</v>
      </c>
      <c r="Q72" s="5" t="str">
        <f t="shared" si="12"/>
        <v/>
      </c>
      <c r="R72" s="10">
        <v>4</v>
      </c>
      <c r="AJ72" s="33" t="str">
        <f t="shared" ca="1" si="17"/>
        <v>GCW</v>
      </c>
    </row>
    <row r="73" spans="1:36" ht="12.75">
      <c r="A73" s="6">
        <v>6.1</v>
      </c>
      <c r="B73" s="33"/>
      <c r="C73" s="33" t="s">
        <v>47</v>
      </c>
      <c r="D73" s="74"/>
      <c r="E73" s="75" t="str">
        <f t="shared" si="18"/>
        <v/>
      </c>
      <c r="F73" s="75" t="str">
        <f t="shared" si="19"/>
        <v/>
      </c>
      <c r="G73" s="75" t="str">
        <f t="shared" si="20"/>
        <v/>
      </c>
      <c r="H73" s="75" t="str">
        <f t="shared" si="21"/>
        <v/>
      </c>
      <c r="I73" s="75" t="str">
        <f t="shared" si="22"/>
        <v/>
      </c>
      <c r="J73" s="74" t="str">
        <f t="shared" ca="1" si="23"/>
        <v/>
      </c>
      <c r="K73" s="74" t="str">
        <f ca="1">INDIRECT(""&amp;$C73&amp;"!e73")</f>
        <v/>
      </c>
      <c r="L73" s="74" t="str">
        <f ca="1">INDIRECT(""&amp;$C73&amp;"!f73")</f>
        <v/>
      </c>
      <c r="M73" s="74" t="str">
        <f ca="1">INDIRECT(""&amp;$C73&amp;"!g73")</f>
        <v/>
      </c>
      <c r="N73" s="74" t="str">
        <f ca="1">INDIRECT(""&amp;$C73&amp;"!h73")</f>
        <v/>
      </c>
      <c r="O73" s="74" t="str">
        <f ca="1">INDIRECT(""&amp;$C73&amp;"!i73")</f>
        <v/>
      </c>
      <c r="P73" s="5" t="str">
        <f t="shared" si="24"/>
        <v>input starter in column D</v>
      </c>
      <c r="Q73" s="5" t="str">
        <f t="shared" si="12"/>
        <v/>
      </c>
      <c r="R73" s="10">
        <v>3</v>
      </c>
      <c r="AJ73" s="33" t="str">
        <f t="shared" ca="1" si="17"/>
        <v>GCW</v>
      </c>
    </row>
    <row r="74" spans="1:36" ht="12.75">
      <c r="A74" s="6">
        <v>6.11</v>
      </c>
      <c r="B74" s="33"/>
      <c r="C74" s="33" t="s">
        <v>47</v>
      </c>
      <c r="D74" s="74"/>
      <c r="E74" s="75" t="str">
        <f t="shared" si="18"/>
        <v/>
      </c>
      <c r="F74" s="75" t="str">
        <f t="shared" si="19"/>
        <v/>
      </c>
      <c r="G74" s="75" t="str">
        <f t="shared" si="20"/>
        <v/>
      </c>
      <c r="H74" s="75" t="str">
        <f t="shared" si="21"/>
        <v/>
      </c>
      <c r="I74" s="75" t="str">
        <f t="shared" si="22"/>
        <v/>
      </c>
      <c r="J74" s="74" t="str">
        <f t="shared" ca="1" si="23"/>
        <v/>
      </c>
      <c r="K74" s="74" t="str">
        <f ca="1">INDIRECT(""&amp;$C74&amp;"!e74")</f>
        <v/>
      </c>
      <c r="L74" s="74" t="str">
        <f ca="1">INDIRECT(""&amp;$C74&amp;"!f74")</f>
        <v/>
      </c>
      <c r="M74" s="74" t="str">
        <f ca="1">INDIRECT(""&amp;$C74&amp;"!g74")</f>
        <v/>
      </c>
      <c r="N74" s="74" t="str">
        <f ca="1">INDIRECT(""&amp;$C74&amp;"!h74")</f>
        <v/>
      </c>
      <c r="O74" s="74" t="str">
        <f ca="1">INDIRECT(""&amp;$C74&amp;"!i74")</f>
        <v/>
      </c>
      <c r="P74" s="5" t="str">
        <f t="shared" si="24"/>
        <v>input starter in column D</v>
      </c>
      <c r="Q74" s="5" t="str">
        <f t="shared" si="12"/>
        <v/>
      </c>
      <c r="R74" s="10">
        <v>1</v>
      </c>
      <c r="AJ74" s="33" t="str">
        <f t="shared" ca="1" si="17"/>
        <v>GCW</v>
      </c>
    </row>
    <row r="75" spans="1:36" ht="12.75">
      <c r="A75" s="6">
        <v>6.12</v>
      </c>
      <c r="B75" s="33"/>
      <c r="C75" s="33" t="s">
        <v>47</v>
      </c>
      <c r="D75" s="74"/>
      <c r="E75" s="75" t="str">
        <f t="shared" si="18"/>
        <v/>
      </c>
      <c r="F75" s="75" t="str">
        <f t="shared" si="19"/>
        <v/>
      </c>
      <c r="G75" s="75" t="str">
        <f t="shared" si="20"/>
        <v/>
      </c>
      <c r="H75" s="75" t="str">
        <f t="shared" si="21"/>
        <v/>
      </c>
      <c r="I75" s="75" t="str">
        <f t="shared" si="22"/>
        <v/>
      </c>
      <c r="J75" s="74" t="str">
        <f t="shared" ca="1" si="23"/>
        <v/>
      </c>
      <c r="K75" s="74" t="str">
        <f ca="1">INDIRECT(""&amp;$C75&amp;"!e75")</f>
        <v/>
      </c>
      <c r="L75" s="74" t="str">
        <f ca="1">INDIRECT(""&amp;$C75&amp;"!f75")</f>
        <v/>
      </c>
      <c r="M75" s="74" t="str">
        <f ca="1">INDIRECT(""&amp;$C75&amp;"!g75")</f>
        <v/>
      </c>
      <c r="N75" s="74" t="str">
        <f ca="1">INDIRECT(""&amp;$C75&amp;"!h75")</f>
        <v/>
      </c>
      <c r="O75" s="74" t="str">
        <f ca="1">INDIRECT(""&amp;$C75&amp;"!i75")</f>
        <v/>
      </c>
      <c r="P75" s="5" t="str">
        <f t="shared" si="24"/>
        <v>input starter in column D</v>
      </c>
      <c r="Q75" s="5" t="str">
        <f t="shared" si="12"/>
        <v/>
      </c>
      <c r="R75" s="10">
        <v>5</v>
      </c>
      <c r="AJ75" s="33" t="str">
        <f t="shared" ca="1" si="17"/>
        <v>GCW</v>
      </c>
    </row>
    <row r="76" spans="1:36" ht="12.75">
      <c r="A76" s="6">
        <v>6.13</v>
      </c>
      <c r="B76" s="33"/>
      <c r="C76" s="33" t="s">
        <v>47</v>
      </c>
      <c r="D76" s="74"/>
      <c r="E76" s="75" t="str">
        <f t="shared" si="18"/>
        <v/>
      </c>
      <c r="F76" s="75" t="str">
        <f t="shared" si="19"/>
        <v/>
      </c>
      <c r="G76" s="75" t="str">
        <f t="shared" si="20"/>
        <v/>
      </c>
      <c r="H76" s="75" t="str">
        <f t="shared" si="21"/>
        <v/>
      </c>
      <c r="I76" s="75" t="str">
        <f t="shared" si="22"/>
        <v/>
      </c>
      <c r="J76" s="74" t="str">
        <f t="shared" ca="1" si="23"/>
        <v/>
      </c>
      <c r="K76" s="74" t="str">
        <f ca="1">INDIRECT(""&amp;$C76&amp;"!e76")</f>
        <v/>
      </c>
      <c r="L76" s="74" t="str">
        <f ca="1">INDIRECT(""&amp;$C76&amp;"!f76")</f>
        <v/>
      </c>
      <c r="M76" s="74" t="str">
        <f ca="1">INDIRECT(""&amp;$C76&amp;"!g76")</f>
        <v/>
      </c>
      <c r="N76" s="74" t="str">
        <f ca="1">INDIRECT(""&amp;$C76&amp;"!h76")</f>
        <v/>
      </c>
      <c r="O76" s="74" t="str">
        <f ca="1">INDIRECT(""&amp;$C76&amp;"!i76")</f>
        <v/>
      </c>
      <c r="P76" s="5" t="str">
        <f t="shared" si="24"/>
        <v>input starter in column D</v>
      </c>
      <c r="Q76" s="5" t="str">
        <f t="shared" si="12"/>
        <v/>
      </c>
      <c r="R76" s="10">
        <v>2</v>
      </c>
      <c r="AJ76" s="33" t="str">
        <f t="shared" ca="1" si="17"/>
        <v>GCW</v>
      </c>
    </row>
    <row r="77" spans="1:36" ht="12.75">
      <c r="A77" s="6">
        <v>6.14</v>
      </c>
      <c r="B77" s="33" t="s">
        <v>32</v>
      </c>
      <c r="C77" s="33" t="s">
        <v>1191</v>
      </c>
      <c r="D77" s="74"/>
      <c r="E77" s="75" t="str">
        <f t="shared" si="18"/>
        <v/>
      </c>
      <c r="F77" s="75" t="str">
        <f t="shared" si="19"/>
        <v/>
      </c>
      <c r="G77" s="75" t="str">
        <f t="shared" si="20"/>
        <v/>
      </c>
      <c r="H77" s="75" t="str">
        <f t="shared" si="21"/>
        <v/>
      </c>
      <c r="I77" s="75" t="str">
        <f t="shared" si="22"/>
        <v/>
      </c>
      <c r="J77" s="74" t="str">
        <f t="shared" ca="1" si="23"/>
        <v/>
      </c>
      <c r="K77" s="74" t="str">
        <f ca="1">INDIRECT(""&amp;$C77&amp;"!e77")</f>
        <v/>
      </c>
      <c r="L77" s="74" t="str">
        <f ca="1">INDIRECT(""&amp;$C77&amp;"!f77")</f>
        <v/>
      </c>
      <c r="M77" s="74" t="str">
        <f ca="1">INDIRECT(""&amp;$C77&amp;"!g77")</f>
        <v/>
      </c>
      <c r="N77" s="74" t="str">
        <f ca="1">INDIRECT(""&amp;$C77&amp;"!h77")</f>
        <v/>
      </c>
      <c r="O77" s="74" t="str">
        <f ca="1">INDIRECT(""&amp;$C77&amp;"!i77")</f>
        <v/>
      </c>
      <c r="P77" s="5" t="str">
        <f t="shared" si="24"/>
        <v>input starter in column D</v>
      </c>
      <c r="Q77" s="5" t="str">
        <f t="shared" si="12"/>
        <v/>
      </c>
      <c r="R77" s="10">
        <v>4</v>
      </c>
      <c r="AJ77" s="33" t="str">
        <f t="shared" ca="1" si="17"/>
        <v>GCW</v>
      </c>
    </row>
    <row r="78" spans="1:36" ht="12.75">
      <c r="A78" s="6">
        <v>6.15</v>
      </c>
      <c r="B78" s="33" t="s">
        <v>32</v>
      </c>
      <c r="C78" s="33" t="s">
        <v>1191</v>
      </c>
      <c r="D78" s="74"/>
      <c r="E78" s="75" t="str">
        <f t="shared" si="18"/>
        <v/>
      </c>
      <c r="F78" s="75" t="str">
        <f t="shared" si="19"/>
        <v/>
      </c>
      <c r="G78" s="75" t="str">
        <f t="shared" si="20"/>
        <v/>
      </c>
      <c r="H78" s="75" t="str">
        <f t="shared" si="21"/>
        <v/>
      </c>
      <c r="I78" s="75" t="str">
        <f t="shared" si="22"/>
        <v/>
      </c>
      <c r="J78" s="74" t="str">
        <f t="shared" ca="1" si="23"/>
        <v/>
      </c>
      <c r="K78" s="74" t="str">
        <f ca="1">INDIRECT(""&amp;$C78&amp;"!e78")</f>
        <v/>
      </c>
      <c r="L78" s="74" t="str">
        <f ca="1">INDIRECT(""&amp;$C78&amp;"!f78")</f>
        <v/>
      </c>
      <c r="M78" s="74" t="str">
        <f ca="1">INDIRECT(""&amp;$C78&amp;"!g78")</f>
        <v/>
      </c>
      <c r="N78" s="74" t="str">
        <f ca="1">INDIRECT(""&amp;$C78&amp;"!h78")</f>
        <v/>
      </c>
      <c r="O78" s="74" t="str">
        <f ca="1">INDIRECT(""&amp;$C78&amp;"!i78")</f>
        <v/>
      </c>
      <c r="P78" s="5" t="str">
        <f t="shared" si="24"/>
        <v>input starter in column D</v>
      </c>
      <c r="Q78" s="5" t="str">
        <f t="shared" si="12"/>
        <v/>
      </c>
      <c r="R78" s="10">
        <v>3</v>
      </c>
      <c r="AJ78" s="33" t="str">
        <f t="shared" ca="1" si="17"/>
        <v>GCW</v>
      </c>
    </row>
    <row r="79" spans="1:36" ht="12.75">
      <c r="A79" s="6">
        <v>6.16</v>
      </c>
      <c r="B79" s="33" t="s">
        <v>32</v>
      </c>
      <c r="C79" s="33" t="s">
        <v>1191</v>
      </c>
      <c r="D79" s="74"/>
      <c r="E79" s="75" t="str">
        <f t="shared" si="18"/>
        <v/>
      </c>
      <c r="F79" s="75" t="str">
        <f t="shared" si="19"/>
        <v/>
      </c>
      <c r="G79" s="75" t="str">
        <f t="shared" si="20"/>
        <v/>
      </c>
      <c r="H79" s="75" t="str">
        <f t="shared" si="21"/>
        <v/>
      </c>
      <c r="I79" s="75" t="str">
        <f t="shared" si="22"/>
        <v/>
      </c>
      <c r="J79" s="74" t="str">
        <f t="shared" ca="1" si="23"/>
        <v/>
      </c>
      <c r="K79" s="74" t="str">
        <f ca="1">INDIRECT(""&amp;$C79&amp;"!e79")</f>
        <v/>
      </c>
      <c r="L79" s="74" t="str">
        <f ca="1">INDIRECT(""&amp;$C79&amp;"!f79")</f>
        <v/>
      </c>
      <c r="M79" s="74" t="str">
        <f ca="1">INDIRECT(""&amp;$C79&amp;"!g79")</f>
        <v/>
      </c>
      <c r="N79" s="74" t="str">
        <f ca="1">INDIRECT(""&amp;$C79&amp;"!h79")</f>
        <v/>
      </c>
      <c r="O79" s="74" t="str">
        <f ca="1">INDIRECT(""&amp;$C79&amp;"!i79")</f>
        <v/>
      </c>
      <c r="P79" s="5" t="str">
        <f t="shared" si="24"/>
        <v>input starter in column D</v>
      </c>
      <c r="Q79" s="5" t="str">
        <f t="shared" si="12"/>
        <v/>
      </c>
      <c r="R79" s="10">
        <v>1</v>
      </c>
      <c r="AJ79" s="33" t="str">
        <f t="shared" ca="1" si="17"/>
        <v>GCW</v>
      </c>
    </row>
    <row r="80" spans="1:36" ht="12.75">
      <c r="A80" s="6">
        <v>6.17</v>
      </c>
      <c r="B80" s="33" t="s">
        <v>32</v>
      </c>
      <c r="C80" s="33" t="s">
        <v>1191</v>
      </c>
      <c r="D80" s="74"/>
      <c r="E80" s="75" t="str">
        <f t="shared" si="18"/>
        <v/>
      </c>
      <c r="F80" s="75" t="str">
        <f t="shared" si="19"/>
        <v/>
      </c>
      <c r="G80" s="75" t="str">
        <f t="shared" si="20"/>
        <v/>
      </c>
      <c r="H80" s="75" t="str">
        <f t="shared" si="21"/>
        <v/>
      </c>
      <c r="I80" s="75" t="str">
        <f t="shared" si="22"/>
        <v/>
      </c>
      <c r="J80" s="74" t="str">
        <f t="shared" ca="1" si="23"/>
        <v/>
      </c>
      <c r="K80" s="74" t="str">
        <f ca="1">INDIRECT(""&amp;$C80&amp;"!e80")</f>
        <v/>
      </c>
      <c r="L80" s="74" t="str">
        <f ca="1">INDIRECT(""&amp;$C80&amp;"!f80")</f>
        <v/>
      </c>
      <c r="M80" s="74" t="str">
        <f ca="1">INDIRECT(""&amp;$C80&amp;"!g80")</f>
        <v/>
      </c>
      <c r="N80" s="74" t="str">
        <f ca="1">INDIRECT(""&amp;$C80&amp;"!h80")</f>
        <v/>
      </c>
      <c r="O80" s="74" t="str">
        <f ca="1">INDIRECT(""&amp;$C80&amp;"!i80")</f>
        <v/>
      </c>
      <c r="P80" s="5" t="str">
        <f t="shared" si="24"/>
        <v>input starter in column D</v>
      </c>
      <c r="Q80" s="5" t="str">
        <f t="shared" si="12"/>
        <v/>
      </c>
      <c r="R80" s="10">
        <v>5</v>
      </c>
      <c r="AJ80" s="33" t="str">
        <f t="shared" ca="1" si="17"/>
        <v>GCW</v>
      </c>
    </row>
    <row r="81" spans="1:36" ht="12.75">
      <c r="A81" s="6">
        <v>6.18</v>
      </c>
      <c r="B81" s="33" t="s">
        <v>32</v>
      </c>
      <c r="C81" s="33" t="s">
        <v>39</v>
      </c>
      <c r="D81" s="74"/>
      <c r="E81" s="75" t="str">
        <f t="shared" si="18"/>
        <v/>
      </c>
      <c r="F81" s="75" t="str">
        <f t="shared" si="19"/>
        <v/>
      </c>
      <c r="G81" s="75" t="str">
        <f t="shared" si="20"/>
        <v/>
      </c>
      <c r="H81" s="75" t="str">
        <f t="shared" si="21"/>
        <v/>
      </c>
      <c r="I81" s="75" t="str">
        <f t="shared" si="22"/>
        <v/>
      </c>
      <c r="J81" s="74" t="str">
        <f t="shared" ca="1" si="23"/>
        <v/>
      </c>
      <c r="K81" s="74" t="str">
        <f ca="1">INDIRECT(""&amp;$C81&amp;"!e81")</f>
        <v/>
      </c>
      <c r="L81" s="74" t="str">
        <f ca="1">INDIRECT(""&amp;$C81&amp;"!f81")</f>
        <v/>
      </c>
      <c r="M81" s="74" t="str">
        <f ca="1">INDIRECT(""&amp;$C81&amp;"!g81")</f>
        <v/>
      </c>
      <c r="N81" s="74" t="str">
        <f ca="1">INDIRECT(""&amp;$C81&amp;"!h81")</f>
        <v/>
      </c>
      <c r="O81" s="74" t="str">
        <f ca="1">INDIRECT(""&amp;$C81&amp;"!i81")</f>
        <v/>
      </c>
      <c r="P81" s="5" t="str">
        <f t="shared" si="24"/>
        <v>input starter in column D</v>
      </c>
      <c r="Q81" s="5" t="str">
        <f t="shared" si="12"/>
        <v/>
      </c>
      <c r="R81" s="10">
        <v>2</v>
      </c>
      <c r="AJ81" s="33" t="str">
        <f t="shared" ca="1" si="17"/>
        <v>GCW</v>
      </c>
    </row>
    <row r="82" spans="1:36" ht="12.75">
      <c r="A82" s="6">
        <v>6.19</v>
      </c>
      <c r="B82" s="33" t="s">
        <v>32</v>
      </c>
      <c r="C82" s="33" t="s">
        <v>39</v>
      </c>
      <c r="D82" s="74"/>
      <c r="E82" s="75" t="str">
        <f t="shared" si="18"/>
        <v/>
      </c>
      <c r="F82" s="75" t="str">
        <f t="shared" si="19"/>
        <v/>
      </c>
      <c r="G82" s="75" t="str">
        <f t="shared" si="20"/>
        <v/>
      </c>
      <c r="H82" s="75" t="str">
        <f t="shared" si="21"/>
        <v/>
      </c>
      <c r="I82" s="75" t="str">
        <f t="shared" si="22"/>
        <v/>
      </c>
      <c r="J82" s="74" t="str">
        <f t="shared" ca="1" si="23"/>
        <v/>
      </c>
      <c r="K82" s="74" t="str">
        <f ca="1">INDIRECT(""&amp;$C82&amp;"!e82")</f>
        <v/>
      </c>
      <c r="L82" s="74" t="str">
        <f ca="1">INDIRECT(""&amp;$C82&amp;"!f82")</f>
        <v/>
      </c>
      <c r="M82" s="74" t="str">
        <f ca="1">INDIRECT(""&amp;$C82&amp;"!g82")</f>
        <v/>
      </c>
      <c r="N82" s="74" t="str">
        <f ca="1">INDIRECT(""&amp;$C82&amp;"!h82")</f>
        <v/>
      </c>
      <c r="O82" s="74" t="str">
        <f ca="1">INDIRECT(""&amp;$C82&amp;"!i82")</f>
        <v/>
      </c>
      <c r="P82" s="5" t="str">
        <f t="shared" si="24"/>
        <v>input starter in column D</v>
      </c>
      <c r="Q82" s="5" t="str">
        <f t="shared" si="12"/>
        <v/>
      </c>
      <c r="R82" s="10">
        <v>4</v>
      </c>
      <c r="AJ82" s="33" t="str">
        <f t="shared" ca="1" si="17"/>
        <v>GCW</v>
      </c>
    </row>
    <row r="83" spans="1:36" ht="12.75">
      <c r="A83" s="6">
        <v>6.2</v>
      </c>
      <c r="B83" s="33"/>
      <c r="C83" s="33"/>
      <c r="D83" s="74"/>
      <c r="E83" s="75"/>
      <c r="F83" s="75"/>
      <c r="G83" s="75"/>
      <c r="H83" s="75"/>
      <c r="I83" s="75"/>
      <c r="J83" s="74"/>
      <c r="K83" s="74"/>
      <c r="L83" s="74"/>
      <c r="M83" s="74"/>
      <c r="N83" s="74"/>
      <c r="O83" s="74"/>
      <c r="P83" s="1"/>
      <c r="Q83" s="1"/>
      <c r="R83" s="10"/>
      <c r="AJ83" s="33" t="str">
        <f t="shared" ca="1" si="17"/>
        <v/>
      </c>
    </row>
    <row r="84" spans="1:36" ht="12.75">
      <c r="A84" s="6">
        <v>6.21</v>
      </c>
      <c r="B84" s="33" t="s">
        <v>32</v>
      </c>
      <c r="C84" s="33" t="s">
        <v>39</v>
      </c>
      <c r="D84" s="74"/>
      <c r="E84" s="75" t="str">
        <f t="shared" si="18"/>
        <v/>
      </c>
      <c r="F84" s="75" t="str">
        <f t="shared" si="19"/>
        <v/>
      </c>
      <c r="G84" s="75" t="str">
        <f t="shared" si="20"/>
        <v/>
      </c>
      <c r="H84" s="75" t="str">
        <f t="shared" si="21"/>
        <v/>
      </c>
      <c r="I84" s="75" t="str">
        <f t="shared" si="22"/>
        <v/>
      </c>
      <c r="J84" s="74" t="str">
        <f t="shared" ca="1" si="23"/>
        <v/>
      </c>
      <c r="K84" s="74" t="str">
        <f ca="1">INDIRECT(""&amp;$C84&amp;"!e84")</f>
        <v/>
      </c>
      <c r="L84" s="74" t="str">
        <f ca="1">INDIRECT(""&amp;$C84&amp;"!f84")</f>
        <v/>
      </c>
      <c r="M84" s="74" t="str">
        <f ca="1">INDIRECT(""&amp;$C84&amp;"!g84")</f>
        <v/>
      </c>
      <c r="N84" s="74" t="str">
        <f ca="1">INDIRECT(""&amp;$C84&amp;"!h84")</f>
        <v/>
      </c>
      <c r="O84" s="74" t="str">
        <f ca="1">INDIRECT(""&amp;$C84&amp;"!i84")</f>
        <v/>
      </c>
      <c r="P84" s="5" t="str">
        <f t="shared" ref="P84:P89" si="25">IF(D84="","input starter in column D",IF(D84=D83,"not enough rest",IF(D84=D82,"not enough rest",(IF(D84=D81,"not enough rest",IF(D84=D80,"not enough rest","ok"))))))</f>
        <v>input starter in column D</v>
      </c>
      <c r="Q84" s="5" t="str">
        <f t="shared" si="12"/>
        <v/>
      </c>
      <c r="R84" s="10">
        <v>1</v>
      </c>
      <c r="AJ84" s="33" t="str">
        <f t="shared" ca="1" si="17"/>
        <v>GCW</v>
      </c>
    </row>
    <row r="85" spans="1:36" ht="12.75">
      <c r="A85" s="6">
        <v>6.22</v>
      </c>
      <c r="B85" s="33" t="s">
        <v>32</v>
      </c>
      <c r="C85" s="33" t="s">
        <v>39</v>
      </c>
      <c r="D85" s="74"/>
      <c r="E85" s="75" t="str">
        <f t="shared" si="18"/>
        <v/>
      </c>
      <c r="F85" s="75" t="str">
        <f t="shared" si="19"/>
        <v/>
      </c>
      <c r="G85" s="75" t="str">
        <f t="shared" si="20"/>
        <v/>
      </c>
      <c r="H85" s="75" t="str">
        <f t="shared" si="21"/>
        <v/>
      </c>
      <c r="I85" s="75" t="str">
        <f t="shared" si="22"/>
        <v/>
      </c>
      <c r="J85" s="74" t="str">
        <f t="shared" ca="1" si="23"/>
        <v/>
      </c>
      <c r="K85" s="74" t="str">
        <f ca="1">INDIRECT(""&amp;$C85&amp;"!e85")</f>
        <v/>
      </c>
      <c r="L85" s="74" t="str">
        <f ca="1">INDIRECT(""&amp;$C85&amp;"!f85")</f>
        <v/>
      </c>
      <c r="M85" s="74" t="str">
        <f ca="1">INDIRECT(""&amp;$C85&amp;"!g85")</f>
        <v/>
      </c>
      <c r="N85" s="74" t="str">
        <f ca="1">INDIRECT(""&amp;$C85&amp;"!h85")</f>
        <v/>
      </c>
      <c r="O85" s="74" t="str">
        <f ca="1">INDIRECT(""&amp;$C85&amp;"!i85")</f>
        <v/>
      </c>
      <c r="P85" s="5" t="str">
        <f t="shared" si="25"/>
        <v>input starter in column D</v>
      </c>
      <c r="Q85" s="5" t="str">
        <f t="shared" si="12"/>
        <v/>
      </c>
      <c r="R85" s="10">
        <v>3</v>
      </c>
      <c r="AJ85" s="33" t="str">
        <f t="shared" ca="1" si="17"/>
        <v>GCW</v>
      </c>
    </row>
    <row r="86" spans="1:36" ht="12.75">
      <c r="A86" s="6">
        <v>6.23</v>
      </c>
      <c r="B86" s="33"/>
      <c r="C86" s="33" t="s">
        <v>55</v>
      </c>
      <c r="D86" s="74"/>
      <c r="E86" s="75" t="str">
        <f t="shared" si="18"/>
        <v/>
      </c>
      <c r="F86" s="75" t="str">
        <f t="shared" si="19"/>
        <v/>
      </c>
      <c r="G86" s="75" t="str">
        <f t="shared" si="20"/>
        <v/>
      </c>
      <c r="H86" s="75" t="str">
        <f t="shared" si="21"/>
        <v/>
      </c>
      <c r="I86" s="75" t="str">
        <f t="shared" si="22"/>
        <v/>
      </c>
      <c r="J86" s="74" t="str">
        <f t="shared" ca="1" si="23"/>
        <v/>
      </c>
      <c r="K86" s="74" t="str">
        <f ca="1">INDIRECT(""&amp;$C86&amp;"!e86")</f>
        <v/>
      </c>
      <c r="L86" s="74" t="str">
        <f ca="1">INDIRECT(""&amp;$C86&amp;"!f86")</f>
        <v/>
      </c>
      <c r="M86" s="74" t="str">
        <f ca="1">INDIRECT(""&amp;$C86&amp;"!g86")</f>
        <v/>
      </c>
      <c r="N86" s="74" t="str">
        <f ca="1">INDIRECT(""&amp;$C86&amp;"!h86")</f>
        <v/>
      </c>
      <c r="O86" s="74" t="str">
        <f ca="1">INDIRECT(""&amp;$C86&amp;"!i86")</f>
        <v/>
      </c>
      <c r="P86" s="5" t="str">
        <f t="shared" si="25"/>
        <v>input starter in column D</v>
      </c>
      <c r="Q86" s="5" t="str">
        <f t="shared" si="12"/>
        <v/>
      </c>
      <c r="R86" s="10">
        <v>2</v>
      </c>
      <c r="AJ86" s="33" t="str">
        <f t="shared" ca="1" si="17"/>
        <v>GCW</v>
      </c>
    </row>
    <row r="87" spans="1:36" ht="12.75">
      <c r="A87" s="6">
        <v>6.24</v>
      </c>
      <c r="B87" s="33"/>
      <c r="C87" s="33" t="s">
        <v>55</v>
      </c>
      <c r="D87" s="74"/>
      <c r="E87" s="75" t="str">
        <f t="shared" si="18"/>
        <v/>
      </c>
      <c r="F87" s="75" t="str">
        <f t="shared" si="19"/>
        <v/>
      </c>
      <c r="G87" s="75" t="str">
        <f t="shared" si="20"/>
        <v/>
      </c>
      <c r="H87" s="75" t="str">
        <f t="shared" si="21"/>
        <v/>
      </c>
      <c r="I87" s="75" t="str">
        <f t="shared" si="22"/>
        <v/>
      </c>
      <c r="J87" s="74" t="str">
        <f t="shared" ca="1" si="23"/>
        <v/>
      </c>
      <c r="K87" s="74" t="str">
        <f ca="1">INDIRECT(""&amp;$C87&amp;"!e87")</f>
        <v/>
      </c>
      <c r="L87" s="74" t="str">
        <f ca="1">INDIRECT(""&amp;$C87&amp;"!f87")</f>
        <v/>
      </c>
      <c r="M87" s="74" t="str">
        <f ca="1">INDIRECT(""&amp;$C87&amp;"!g87")</f>
        <v/>
      </c>
      <c r="N87" s="74" t="str">
        <f ca="1">INDIRECT(""&amp;$C87&amp;"!h87")</f>
        <v/>
      </c>
      <c r="O87" s="74" t="str">
        <f ca="1">INDIRECT(""&amp;$C87&amp;"!i87")</f>
        <v/>
      </c>
      <c r="P87" s="5" t="str">
        <f t="shared" si="25"/>
        <v>input starter in column D</v>
      </c>
      <c r="Q87" s="5" t="str">
        <f t="shared" si="12"/>
        <v/>
      </c>
      <c r="R87" s="10">
        <v>4</v>
      </c>
      <c r="AJ87" s="33" t="str">
        <f t="shared" ca="1" si="17"/>
        <v>GCW</v>
      </c>
    </row>
    <row r="88" spans="1:36" ht="12.75">
      <c r="A88" s="6">
        <v>6.25</v>
      </c>
      <c r="B88" s="33"/>
      <c r="C88" s="33" t="s">
        <v>55</v>
      </c>
      <c r="D88" s="74"/>
      <c r="E88" s="75" t="str">
        <f t="shared" si="18"/>
        <v/>
      </c>
      <c r="F88" s="75" t="str">
        <f t="shared" si="19"/>
        <v/>
      </c>
      <c r="G88" s="75" t="str">
        <f t="shared" si="20"/>
        <v/>
      </c>
      <c r="H88" s="75" t="str">
        <f t="shared" si="21"/>
        <v/>
      </c>
      <c r="I88" s="75" t="str">
        <f t="shared" si="22"/>
        <v/>
      </c>
      <c r="J88" s="74" t="str">
        <f t="shared" ca="1" si="23"/>
        <v/>
      </c>
      <c r="K88" s="74" t="str">
        <f ca="1">INDIRECT(""&amp;$C88&amp;"!e88")</f>
        <v/>
      </c>
      <c r="L88" s="74" t="str">
        <f ca="1">INDIRECT(""&amp;$C88&amp;"!f88")</f>
        <v/>
      </c>
      <c r="M88" s="74" t="str">
        <f ca="1">INDIRECT(""&amp;$C88&amp;"!g88")</f>
        <v/>
      </c>
      <c r="N88" s="74" t="str">
        <f ca="1">INDIRECT(""&amp;$C88&amp;"!h88")</f>
        <v/>
      </c>
      <c r="O88" s="74" t="str">
        <f ca="1">INDIRECT(""&amp;$C88&amp;"!i88")</f>
        <v/>
      </c>
      <c r="P88" s="5" t="str">
        <f t="shared" si="25"/>
        <v>input starter in column D</v>
      </c>
      <c r="Q88" s="5" t="str">
        <f t="shared" si="12"/>
        <v/>
      </c>
      <c r="R88" s="10">
        <v>5</v>
      </c>
      <c r="AJ88" s="33" t="str">
        <f t="shared" ca="1" si="17"/>
        <v>GCW</v>
      </c>
    </row>
    <row r="89" spans="1:36" ht="12.75">
      <c r="A89" s="6">
        <v>6.26</v>
      </c>
      <c r="B89" s="33"/>
      <c r="C89" s="33" t="s">
        <v>55</v>
      </c>
      <c r="D89" s="74"/>
      <c r="E89" s="75" t="str">
        <f t="shared" si="18"/>
        <v/>
      </c>
      <c r="F89" s="75" t="str">
        <f t="shared" si="19"/>
        <v/>
      </c>
      <c r="G89" s="75" t="str">
        <f t="shared" si="20"/>
        <v/>
      </c>
      <c r="H89" s="75" t="str">
        <f t="shared" si="21"/>
        <v/>
      </c>
      <c r="I89" s="75" t="str">
        <f t="shared" si="22"/>
        <v/>
      </c>
      <c r="J89" s="74" t="str">
        <f t="shared" ca="1" si="23"/>
        <v/>
      </c>
      <c r="K89" s="74" t="str">
        <f ca="1">INDIRECT(""&amp;$C89&amp;"!e89")</f>
        <v/>
      </c>
      <c r="L89" s="74" t="str">
        <f ca="1">INDIRECT(""&amp;$C89&amp;"!f89")</f>
        <v/>
      </c>
      <c r="M89" s="74" t="str">
        <f ca="1">INDIRECT(""&amp;$C89&amp;"!g89")</f>
        <v/>
      </c>
      <c r="N89" s="74" t="str">
        <f ca="1">INDIRECT(""&amp;$C89&amp;"!h89")</f>
        <v/>
      </c>
      <c r="O89" s="74" t="str">
        <f ca="1">INDIRECT(""&amp;$C89&amp;"!i89")</f>
        <v/>
      </c>
      <c r="P89" s="5" t="str">
        <f t="shared" si="25"/>
        <v>input starter in column D</v>
      </c>
      <c r="Q89" s="5" t="str">
        <f t="shared" si="12"/>
        <v/>
      </c>
      <c r="R89" s="10">
        <v>1</v>
      </c>
      <c r="AJ89" s="33" t="str">
        <f t="shared" ca="1" si="17"/>
        <v>GCW</v>
      </c>
    </row>
    <row r="90" spans="1:36" ht="12.75">
      <c r="A90" s="6">
        <v>6.27</v>
      </c>
      <c r="B90" s="33"/>
      <c r="C90" s="33"/>
      <c r="D90" s="74"/>
      <c r="E90" s="75"/>
      <c r="F90" s="75"/>
      <c r="G90" s="75"/>
      <c r="H90" s="75"/>
      <c r="I90" s="75"/>
      <c r="J90" s="74"/>
      <c r="K90" s="74"/>
      <c r="L90" s="74"/>
      <c r="M90" s="74"/>
      <c r="N90" s="74"/>
      <c r="O90" s="74"/>
      <c r="P90" s="1"/>
      <c r="Q90" s="1"/>
      <c r="R90" s="10"/>
      <c r="AJ90" s="33" t="str">
        <f t="shared" ca="1" si="17"/>
        <v/>
      </c>
    </row>
    <row r="91" spans="1:36" ht="15">
      <c r="A91" s="6">
        <v>6.28</v>
      </c>
      <c r="B91" s="36" t="s">
        <v>32</v>
      </c>
      <c r="C91" s="36" t="s">
        <v>48</v>
      </c>
      <c r="D91" s="74"/>
      <c r="E91" s="75" t="str">
        <f t="shared" si="18"/>
        <v/>
      </c>
      <c r="F91" s="75" t="str">
        <f t="shared" si="19"/>
        <v/>
      </c>
      <c r="G91" s="75" t="str">
        <f t="shared" si="20"/>
        <v/>
      </c>
      <c r="H91" s="75" t="str">
        <f t="shared" si="21"/>
        <v/>
      </c>
      <c r="I91" s="75" t="str">
        <f t="shared" si="22"/>
        <v/>
      </c>
      <c r="J91" s="74" t="str">
        <f t="shared" ca="1" si="23"/>
        <v/>
      </c>
      <c r="K91" s="74" t="str">
        <f ca="1">INDIRECT(""&amp;$C91&amp;"!e91")</f>
        <v/>
      </c>
      <c r="L91" s="74" t="str">
        <f ca="1">INDIRECT(""&amp;$C91&amp;"!f91")</f>
        <v/>
      </c>
      <c r="M91" s="74" t="str">
        <f ca="1">INDIRECT(""&amp;$C91&amp;"!g91")</f>
        <v/>
      </c>
      <c r="N91" s="74" t="str">
        <f ca="1">INDIRECT(""&amp;$C91&amp;"!h91")</f>
        <v/>
      </c>
      <c r="O91" s="74" t="str">
        <f ca="1">INDIRECT(""&amp;$C91&amp;"!i91")</f>
        <v/>
      </c>
      <c r="P91" s="5" t="str">
        <f t="shared" ref="P91:P102" si="26">IF(D91="","input starter in column D",IF(D91=D90,"not enough rest",IF(D91=D89,"not enough rest",(IF(D91=D88,"not enough rest",IF(D91=D87,"not enough rest","ok"))))))</f>
        <v>input starter in column D</v>
      </c>
      <c r="Q91" s="5" t="str">
        <f t="shared" si="12"/>
        <v/>
      </c>
      <c r="R91" s="10">
        <v>2</v>
      </c>
      <c r="AJ91" s="33" t="str">
        <f t="shared" ca="1" si="17"/>
        <v>GCW</v>
      </c>
    </row>
    <row r="92" spans="1:36" ht="15">
      <c r="A92" s="6">
        <v>6.29</v>
      </c>
      <c r="B92" s="36" t="s">
        <v>32</v>
      </c>
      <c r="C92" s="36" t="s">
        <v>48</v>
      </c>
      <c r="D92" s="74"/>
      <c r="E92" s="75" t="str">
        <f t="shared" si="18"/>
        <v/>
      </c>
      <c r="F92" s="75" t="str">
        <f t="shared" si="19"/>
        <v/>
      </c>
      <c r="G92" s="75" t="str">
        <f t="shared" si="20"/>
        <v/>
      </c>
      <c r="H92" s="75" t="str">
        <f t="shared" si="21"/>
        <v/>
      </c>
      <c r="I92" s="75" t="str">
        <f t="shared" si="22"/>
        <v/>
      </c>
      <c r="J92" s="74" t="str">
        <f t="shared" ca="1" si="23"/>
        <v/>
      </c>
      <c r="K92" s="74" t="str">
        <f ca="1">INDIRECT(""&amp;$C92&amp;"!e92")</f>
        <v/>
      </c>
      <c r="L92" s="74" t="str">
        <f ca="1">INDIRECT(""&amp;$C92&amp;"!f92")</f>
        <v/>
      </c>
      <c r="M92" s="74" t="str">
        <f ca="1">INDIRECT(""&amp;$C92&amp;"!g92")</f>
        <v/>
      </c>
      <c r="N92" s="74" t="str">
        <f ca="1">INDIRECT(""&amp;$C92&amp;"!h92")</f>
        <v/>
      </c>
      <c r="O92" s="74" t="str">
        <f ca="1">INDIRECT(""&amp;$C92&amp;"!i92")</f>
        <v/>
      </c>
      <c r="P92" s="5" t="str">
        <f t="shared" si="26"/>
        <v>input starter in column D</v>
      </c>
      <c r="Q92" s="5" t="str">
        <f t="shared" si="12"/>
        <v/>
      </c>
      <c r="R92" s="10">
        <v>3</v>
      </c>
      <c r="AJ92" s="33" t="str">
        <f t="shared" ca="1" si="17"/>
        <v>GCW</v>
      </c>
    </row>
    <row r="93" spans="1:36" ht="15">
      <c r="A93" s="6">
        <v>6.3</v>
      </c>
      <c r="B93" s="36" t="s">
        <v>32</v>
      </c>
      <c r="C93" s="36" t="s">
        <v>48</v>
      </c>
      <c r="D93" s="74"/>
      <c r="E93" s="75" t="str">
        <f t="shared" si="18"/>
        <v/>
      </c>
      <c r="F93" s="75" t="str">
        <f t="shared" si="19"/>
        <v/>
      </c>
      <c r="G93" s="75" t="str">
        <f t="shared" si="20"/>
        <v/>
      </c>
      <c r="H93" s="75" t="str">
        <f t="shared" si="21"/>
        <v/>
      </c>
      <c r="I93" s="75" t="str">
        <f t="shared" si="22"/>
        <v/>
      </c>
      <c r="J93" s="74" t="str">
        <f t="shared" ca="1" si="23"/>
        <v/>
      </c>
      <c r="K93" s="74" t="str">
        <f ca="1">INDIRECT(""&amp;$C93&amp;"!e93")</f>
        <v/>
      </c>
      <c r="L93" s="74" t="str">
        <f ca="1">INDIRECT(""&amp;$C93&amp;"!f93")</f>
        <v/>
      </c>
      <c r="M93" s="74" t="str">
        <f ca="1">INDIRECT(""&amp;$C93&amp;"!g93")</f>
        <v/>
      </c>
      <c r="N93" s="74" t="str">
        <f ca="1">INDIRECT(""&amp;$C93&amp;"!h93")</f>
        <v/>
      </c>
      <c r="O93" s="74" t="str">
        <f ca="1">INDIRECT(""&amp;$C93&amp;"!i93")</f>
        <v/>
      </c>
      <c r="P93" s="5" t="str">
        <f t="shared" si="26"/>
        <v>input starter in column D</v>
      </c>
      <c r="Q93" s="5" t="str">
        <f t="shared" si="12"/>
        <v/>
      </c>
      <c r="R93" s="10">
        <v>4</v>
      </c>
      <c r="AJ93" s="33" t="str">
        <f t="shared" ca="1" si="17"/>
        <v>GCW</v>
      </c>
    </row>
    <row r="94" spans="1:36" ht="12.75">
      <c r="A94" s="6">
        <v>7.01</v>
      </c>
      <c r="B94" s="33"/>
      <c r="C94" s="33" t="s">
        <v>49</v>
      </c>
      <c r="D94" s="74"/>
      <c r="E94" s="75" t="str">
        <f t="shared" si="18"/>
        <v/>
      </c>
      <c r="F94" s="75" t="str">
        <f t="shared" si="19"/>
        <v/>
      </c>
      <c r="G94" s="75" t="str">
        <f t="shared" si="20"/>
        <v/>
      </c>
      <c r="H94" s="75" t="str">
        <f t="shared" si="21"/>
        <v/>
      </c>
      <c r="I94" s="75" t="str">
        <f t="shared" si="22"/>
        <v/>
      </c>
      <c r="J94" s="74" t="str">
        <f t="shared" ca="1" si="23"/>
        <v/>
      </c>
      <c r="K94" s="74" t="str">
        <f ca="1">INDIRECT(""&amp;$C94&amp;"!e94")</f>
        <v/>
      </c>
      <c r="L94" s="74" t="str">
        <f ca="1">INDIRECT(""&amp;$C94&amp;"!f94")</f>
        <v/>
      </c>
      <c r="M94" s="74" t="str">
        <f ca="1">INDIRECT(""&amp;$C94&amp;"!g94")</f>
        <v/>
      </c>
      <c r="N94" s="74" t="str">
        <f ca="1">INDIRECT(""&amp;$C94&amp;"!h94")</f>
        <v/>
      </c>
      <c r="O94" s="74" t="str">
        <f ca="1">INDIRECT(""&amp;$C94&amp;"!i94")</f>
        <v/>
      </c>
      <c r="P94" s="5" t="str">
        <f t="shared" si="26"/>
        <v>input starter in column D</v>
      </c>
      <c r="Q94" s="5" t="str">
        <f t="shared" si="12"/>
        <v/>
      </c>
      <c r="R94" s="10">
        <v>1</v>
      </c>
      <c r="AJ94" s="33" t="str">
        <f t="shared" ca="1" si="17"/>
        <v>GCW</v>
      </c>
    </row>
    <row r="95" spans="1:36" ht="12.75">
      <c r="A95" s="6">
        <v>7.02</v>
      </c>
      <c r="B95" s="33"/>
      <c r="C95" s="33" t="s">
        <v>49</v>
      </c>
      <c r="D95" s="74"/>
      <c r="E95" s="75" t="str">
        <f t="shared" si="18"/>
        <v/>
      </c>
      <c r="F95" s="75" t="str">
        <f t="shared" si="19"/>
        <v/>
      </c>
      <c r="G95" s="75" t="str">
        <f t="shared" si="20"/>
        <v/>
      </c>
      <c r="H95" s="75" t="str">
        <f t="shared" si="21"/>
        <v/>
      </c>
      <c r="I95" s="75" t="str">
        <f t="shared" si="22"/>
        <v/>
      </c>
      <c r="J95" s="74" t="str">
        <f t="shared" ca="1" si="23"/>
        <v/>
      </c>
      <c r="K95" s="74" t="str">
        <f ca="1">INDIRECT(""&amp;$C95&amp;"!e95")</f>
        <v/>
      </c>
      <c r="L95" s="74" t="str">
        <f ca="1">INDIRECT(""&amp;$C95&amp;"!f95")</f>
        <v/>
      </c>
      <c r="M95" s="74" t="str">
        <f ca="1">INDIRECT(""&amp;$C95&amp;"!g95")</f>
        <v/>
      </c>
      <c r="N95" s="74" t="str">
        <f ca="1">INDIRECT(""&amp;$C95&amp;"!h95")</f>
        <v/>
      </c>
      <c r="O95" s="74" t="str">
        <f ca="1">INDIRECT(""&amp;$C95&amp;"!i95")</f>
        <v/>
      </c>
      <c r="P95" s="5" t="str">
        <f t="shared" si="26"/>
        <v>input starter in column D</v>
      </c>
      <c r="Q95" s="5" t="str">
        <f t="shared" si="12"/>
        <v/>
      </c>
      <c r="R95" s="10">
        <v>5</v>
      </c>
      <c r="AJ95" s="33" t="str">
        <f t="shared" ca="1" si="17"/>
        <v>GCW</v>
      </c>
    </row>
    <row r="96" spans="1:36" ht="12.75">
      <c r="A96" s="6">
        <v>7.03</v>
      </c>
      <c r="B96" s="33"/>
      <c r="C96" s="33" t="s">
        <v>49</v>
      </c>
      <c r="D96" s="74"/>
      <c r="E96" s="75" t="str">
        <f t="shared" si="18"/>
        <v/>
      </c>
      <c r="F96" s="75" t="str">
        <f t="shared" si="19"/>
        <v/>
      </c>
      <c r="G96" s="75" t="str">
        <f t="shared" si="20"/>
        <v/>
      </c>
      <c r="H96" s="75" t="str">
        <f t="shared" si="21"/>
        <v/>
      </c>
      <c r="I96" s="75" t="str">
        <f t="shared" si="22"/>
        <v/>
      </c>
      <c r="J96" s="74" t="str">
        <f t="shared" ca="1" si="23"/>
        <v/>
      </c>
      <c r="K96" s="74" t="str">
        <f ca="1">INDIRECT(""&amp;$C96&amp;"!e96")</f>
        <v/>
      </c>
      <c r="L96" s="74" t="str">
        <f ca="1">INDIRECT(""&amp;$C96&amp;"!f96")</f>
        <v/>
      </c>
      <c r="M96" s="74" t="str">
        <f ca="1">INDIRECT(""&amp;$C96&amp;"!g96")</f>
        <v/>
      </c>
      <c r="N96" s="74" t="str">
        <f ca="1">INDIRECT(""&amp;$C96&amp;"!h96")</f>
        <v/>
      </c>
      <c r="O96" s="74" t="str">
        <f ca="1">INDIRECT(""&amp;$C96&amp;"!i96")</f>
        <v/>
      </c>
      <c r="P96" s="5" t="str">
        <f t="shared" si="26"/>
        <v>input starter in column D</v>
      </c>
      <c r="Q96" s="5" t="str">
        <f t="shared" si="12"/>
        <v/>
      </c>
      <c r="R96" s="10">
        <v>2</v>
      </c>
      <c r="AJ96" s="33" t="str">
        <f t="shared" ca="1" si="17"/>
        <v>GCW</v>
      </c>
    </row>
    <row r="97" spans="1:36" ht="12.75">
      <c r="A97" s="6">
        <v>7.04</v>
      </c>
      <c r="B97" s="32" t="s">
        <v>32</v>
      </c>
      <c r="C97" s="33" t="s">
        <v>42</v>
      </c>
      <c r="D97" s="74"/>
      <c r="E97" s="75" t="str">
        <f t="shared" si="18"/>
        <v/>
      </c>
      <c r="F97" s="75" t="str">
        <f t="shared" si="19"/>
        <v/>
      </c>
      <c r="G97" s="75" t="str">
        <f t="shared" si="20"/>
        <v/>
      </c>
      <c r="H97" s="75" t="str">
        <f t="shared" si="21"/>
        <v/>
      </c>
      <c r="I97" s="75" t="str">
        <f t="shared" si="22"/>
        <v/>
      </c>
      <c r="J97" s="74" t="str">
        <f t="shared" ca="1" si="23"/>
        <v/>
      </c>
      <c r="K97" s="74" t="str">
        <f ca="1">INDIRECT(""&amp;$C97&amp;"!e97")</f>
        <v/>
      </c>
      <c r="L97" s="74" t="str">
        <f ca="1">INDIRECT(""&amp;$C97&amp;"!f97")</f>
        <v/>
      </c>
      <c r="M97" s="74" t="str">
        <f ca="1">INDIRECT(""&amp;$C97&amp;"!g97")</f>
        <v/>
      </c>
      <c r="N97" s="74" t="str">
        <f ca="1">INDIRECT(""&amp;$C97&amp;"!h97")</f>
        <v/>
      </c>
      <c r="O97" s="74" t="str">
        <f ca="1">INDIRECT(""&amp;$C97&amp;"!i97")</f>
        <v/>
      </c>
      <c r="P97" s="5" t="str">
        <f t="shared" si="26"/>
        <v>input starter in column D</v>
      </c>
      <c r="Q97" s="5" t="str">
        <f t="shared" ref="Q97:Q160" si="27">IF(P97="not enough rest","input a DIFFERENT starter in column C","")</f>
        <v/>
      </c>
      <c r="R97" s="10">
        <v>3</v>
      </c>
      <c r="AJ97" s="33" t="str">
        <f t="shared" ca="1" si="17"/>
        <v>GCW</v>
      </c>
    </row>
    <row r="98" spans="1:36" ht="12.75">
      <c r="A98" s="6">
        <v>7.05</v>
      </c>
      <c r="B98" s="32" t="s">
        <v>32</v>
      </c>
      <c r="C98" s="33" t="s">
        <v>42</v>
      </c>
      <c r="D98" s="74"/>
      <c r="E98" s="75" t="str">
        <f t="shared" si="18"/>
        <v/>
      </c>
      <c r="F98" s="75" t="str">
        <f t="shared" si="19"/>
        <v/>
      </c>
      <c r="G98" s="75" t="str">
        <f t="shared" si="20"/>
        <v/>
      </c>
      <c r="H98" s="75" t="str">
        <f t="shared" si="21"/>
        <v/>
      </c>
      <c r="I98" s="75" t="str">
        <f t="shared" si="22"/>
        <v/>
      </c>
      <c r="J98" s="74" t="str">
        <f t="shared" ca="1" si="23"/>
        <v/>
      </c>
      <c r="K98" s="74" t="str">
        <f ca="1">INDIRECT(""&amp;$C98&amp;"!e98")</f>
        <v/>
      </c>
      <c r="L98" s="74" t="str">
        <f ca="1">INDIRECT(""&amp;$C98&amp;"!f98")</f>
        <v/>
      </c>
      <c r="M98" s="74" t="str">
        <f ca="1">INDIRECT(""&amp;$C98&amp;"!g98")</f>
        <v/>
      </c>
      <c r="N98" s="74" t="str">
        <f ca="1">INDIRECT(""&amp;$C98&amp;"!h98")</f>
        <v/>
      </c>
      <c r="O98" s="74" t="str">
        <f ca="1">INDIRECT(""&amp;$C98&amp;"!i98")</f>
        <v/>
      </c>
      <c r="P98" s="5" t="str">
        <f t="shared" si="26"/>
        <v>input starter in column D</v>
      </c>
      <c r="Q98" s="5" t="str">
        <f t="shared" si="27"/>
        <v/>
      </c>
      <c r="R98" s="10">
        <v>4</v>
      </c>
      <c r="AJ98" s="33" t="str">
        <f t="shared" ca="1" si="17"/>
        <v>GCW</v>
      </c>
    </row>
    <row r="99" spans="1:36" ht="12.75">
      <c r="A99" s="6">
        <v>7.06</v>
      </c>
      <c r="B99" s="32" t="s">
        <v>32</v>
      </c>
      <c r="C99" s="33" t="s">
        <v>42</v>
      </c>
      <c r="D99" s="74"/>
      <c r="E99" s="75" t="str">
        <f t="shared" si="18"/>
        <v/>
      </c>
      <c r="F99" s="75" t="str">
        <f t="shared" si="19"/>
        <v/>
      </c>
      <c r="G99" s="75" t="str">
        <f t="shared" si="20"/>
        <v/>
      </c>
      <c r="H99" s="75" t="str">
        <f t="shared" si="21"/>
        <v/>
      </c>
      <c r="I99" s="75" t="str">
        <f t="shared" si="22"/>
        <v/>
      </c>
      <c r="J99" s="74" t="str">
        <f t="shared" ca="1" si="23"/>
        <v/>
      </c>
      <c r="K99" s="74" t="str">
        <f ca="1">INDIRECT(""&amp;$C99&amp;"!e99")</f>
        <v/>
      </c>
      <c r="L99" s="74" t="str">
        <f ca="1">INDIRECT(""&amp;$C99&amp;"!f99")</f>
        <v/>
      </c>
      <c r="M99" s="74" t="str">
        <f ca="1">INDIRECT(""&amp;$C99&amp;"!g99")</f>
        <v/>
      </c>
      <c r="N99" s="74" t="str">
        <f ca="1">INDIRECT(""&amp;$C99&amp;"!h99")</f>
        <v/>
      </c>
      <c r="O99" s="74" t="str">
        <f ca="1">INDIRECT(""&amp;$C99&amp;"!i99")</f>
        <v/>
      </c>
      <c r="P99" s="5" t="str">
        <f t="shared" si="26"/>
        <v>input starter in column D</v>
      </c>
      <c r="Q99" s="5" t="str">
        <f t="shared" si="27"/>
        <v/>
      </c>
      <c r="R99" s="10">
        <v>1</v>
      </c>
      <c r="AJ99" s="33" t="str">
        <f t="shared" ca="1" si="17"/>
        <v>GCW</v>
      </c>
    </row>
    <row r="100" spans="1:36" ht="12.75">
      <c r="A100" s="6">
        <v>7.07</v>
      </c>
      <c r="B100" s="33"/>
      <c r="C100" s="33" t="s">
        <v>15</v>
      </c>
      <c r="D100" s="74"/>
      <c r="E100" s="75" t="str">
        <f t="shared" si="18"/>
        <v/>
      </c>
      <c r="F100" s="75" t="str">
        <f t="shared" si="19"/>
        <v/>
      </c>
      <c r="G100" s="75" t="str">
        <f t="shared" si="20"/>
        <v/>
      </c>
      <c r="H100" s="75" t="str">
        <f t="shared" si="21"/>
        <v/>
      </c>
      <c r="I100" s="75" t="str">
        <f t="shared" si="22"/>
        <v/>
      </c>
      <c r="J100" s="74" t="str">
        <f t="shared" ca="1" si="23"/>
        <v/>
      </c>
      <c r="K100" s="74" t="str">
        <f ca="1">INDIRECT(""&amp;$C100&amp;"!e100")</f>
        <v/>
      </c>
      <c r="L100" s="74" t="str">
        <f ca="1">INDIRECT(""&amp;$C100&amp;"!f100")</f>
        <v/>
      </c>
      <c r="M100" s="74" t="str">
        <f ca="1">INDIRECT(""&amp;$C100&amp;"!g100")</f>
        <v/>
      </c>
      <c r="N100" s="74" t="str">
        <f ca="1">INDIRECT(""&amp;$C100&amp;"!h100")</f>
        <v/>
      </c>
      <c r="O100" s="74" t="str">
        <f ca="1">INDIRECT(""&amp;$C100&amp;"!i100")</f>
        <v/>
      </c>
      <c r="P100" s="5" t="str">
        <f t="shared" si="26"/>
        <v>input starter in column D</v>
      </c>
      <c r="Q100" s="5" t="str">
        <f t="shared" si="27"/>
        <v/>
      </c>
      <c r="R100" s="10">
        <v>5</v>
      </c>
      <c r="AJ100" s="33" t="str">
        <f t="shared" ca="1" si="17"/>
        <v>GCW</v>
      </c>
    </row>
    <row r="101" spans="1:36" ht="12.75">
      <c r="A101" s="6">
        <v>7.08</v>
      </c>
      <c r="B101" s="33"/>
      <c r="C101" s="33" t="s">
        <v>15</v>
      </c>
      <c r="D101" s="74"/>
      <c r="E101" s="75" t="str">
        <f t="shared" si="18"/>
        <v/>
      </c>
      <c r="F101" s="75" t="str">
        <f t="shared" si="19"/>
        <v/>
      </c>
      <c r="G101" s="75" t="str">
        <f t="shared" si="20"/>
        <v/>
      </c>
      <c r="H101" s="75" t="str">
        <f t="shared" si="21"/>
        <v/>
      </c>
      <c r="I101" s="75" t="str">
        <f t="shared" si="22"/>
        <v/>
      </c>
      <c r="J101" s="74" t="str">
        <f t="shared" ca="1" si="23"/>
        <v/>
      </c>
      <c r="K101" s="74" t="str">
        <f ca="1">INDIRECT(""&amp;$C101&amp;"!e101")</f>
        <v/>
      </c>
      <c r="L101" s="74" t="str">
        <f ca="1">INDIRECT(""&amp;$C101&amp;"!f101")</f>
        <v/>
      </c>
      <c r="M101" s="74" t="str">
        <f ca="1">INDIRECT(""&amp;$C101&amp;"!g101")</f>
        <v/>
      </c>
      <c r="N101" s="74" t="str">
        <f ca="1">INDIRECT(""&amp;$C101&amp;"!h101")</f>
        <v/>
      </c>
      <c r="O101" s="74" t="str">
        <f ca="1">INDIRECT(""&amp;$C101&amp;"!i101")</f>
        <v/>
      </c>
      <c r="P101" s="5" t="str">
        <f t="shared" si="26"/>
        <v>input starter in column D</v>
      </c>
      <c r="Q101" s="5" t="str">
        <f t="shared" si="27"/>
        <v/>
      </c>
      <c r="R101" s="10">
        <v>2</v>
      </c>
      <c r="AJ101" s="33" t="str">
        <f t="shared" ca="1" si="17"/>
        <v>GCW</v>
      </c>
    </row>
    <row r="102" spans="1:36" ht="12.75">
      <c r="A102" s="6">
        <v>7.09</v>
      </c>
      <c r="B102" s="33"/>
      <c r="C102" s="33" t="s">
        <v>15</v>
      </c>
      <c r="D102" s="74"/>
      <c r="E102" s="75" t="str">
        <f t="shared" si="18"/>
        <v/>
      </c>
      <c r="F102" s="75" t="str">
        <f t="shared" si="19"/>
        <v/>
      </c>
      <c r="G102" s="75" t="str">
        <f t="shared" si="20"/>
        <v/>
      </c>
      <c r="H102" s="75" t="str">
        <f t="shared" si="21"/>
        <v/>
      </c>
      <c r="I102" s="75" t="str">
        <f t="shared" si="22"/>
        <v/>
      </c>
      <c r="J102" s="74" t="str">
        <f t="shared" ca="1" si="23"/>
        <v/>
      </c>
      <c r="K102" s="74" t="str">
        <f ca="1">INDIRECT(""&amp;$C102&amp;"!e102")</f>
        <v/>
      </c>
      <c r="L102" s="74" t="str">
        <f ca="1">INDIRECT(""&amp;$C102&amp;"!f102")</f>
        <v/>
      </c>
      <c r="M102" s="74" t="str">
        <f ca="1">INDIRECT(""&amp;$C102&amp;"!g102")</f>
        <v/>
      </c>
      <c r="N102" s="74" t="str">
        <f ca="1">INDIRECT(""&amp;$C102&amp;"!h102")</f>
        <v/>
      </c>
      <c r="O102" s="74" t="str">
        <f ca="1">INDIRECT(""&amp;$C102&amp;"!i102")</f>
        <v/>
      </c>
      <c r="P102" s="5" t="str">
        <f t="shared" si="26"/>
        <v>input starter in column D</v>
      </c>
      <c r="Q102" s="5" t="str">
        <f t="shared" si="27"/>
        <v/>
      </c>
      <c r="R102" s="10">
        <v>3</v>
      </c>
      <c r="AJ102" s="33" t="str">
        <f t="shared" ca="1" si="17"/>
        <v>GCW</v>
      </c>
    </row>
    <row r="103" spans="1:36" ht="12.75">
      <c r="A103" s="6">
        <v>7.1</v>
      </c>
      <c r="B103" s="33"/>
      <c r="C103" s="33"/>
      <c r="D103" s="74"/>
      <c r="E103" s="75"/>
      <c r="F103" s="75"/>
      <c r="G103" s="75"/>
      <c r="H103" s="75"/>
      <c r="I103" s="75"/>
      <c r="J103" s="74"/>
      <c r="K103" s="74"/>
      <c r="L103" s="74"/>
      <c r="M103" s="74"/>
      <c r="N103" s="74"/>
      <c r="O103" s="74"/>
      <c r="P103" s="1"/>
      <c r="Q103" s="1"/>
      <c r="R103" s="10"/>
      <c r="AJ103" s="33" t="str">
        <f t="shared" ca="1" si="17"/>
        <v/>
      </c>
    </row>
    <row r="104" spans="1:36" ht="12.75">
      <c r="A104" s="6">
        <v>7.11</v>
      </c>
      <c r="B104" s="33"/>
      <c r="C104" s="33"/>
      <c r="D104" s="74"/>
      <c r="E104" s="75"/>
      <c r="F104" s="75"/>
      <c r="G104" s="75"/>
      <c r="H104" s="75"/>
      <c r="I104" s="75"/>
      <c r="J104" s="74"/>
      <c r="K104" s="74"/>
      <c r="L104" s="74"/>
      <c r="M104" s="74"/>
      <c r="N104" s="74"/>
      <c r="O104" s="74"/>
      <c r="P104" s="1"/>
      <c r="Q104" s="1"/>
      <c r="R104" s="10"/>
      <c r="AJ104" s="33" t="str">
        <f t="shared" ca="1" si="17"/>
        <v/>
      </c>
    </row>
    <row r="105" spans="1:36" ht="12.75">
      <c r="A105" s="6">
        <v>7.12</v>
      </c>
      <c r="B105" s="33"/>
      <c r="C105" s="33"/>
      <c r="D105" s="74"/>
      <c r="E105" s="75"/>
      <c r="F105" s="75"/>
      <c r="G105" s="75"/>
      <c r="H105" s="75"/>
      <c r="I105" s="75"/>
      <c r="J105" s="74"/>
      <c r="K105" s="74"/>
      <c r="L105" s="74"/>
      <c r="M105" s="74"/>
      <c r="N105" s="74"/>
      <c r="O105" s="74"/>
      <c r="P105" s="1"/>
      <c r="Q105" s="1"/>
      <c r="R105" s="10"/>
      <c r="AJ105" s="33" t="str">
        <f t="shared" ca="1" si="17"/>
        <v/>
      </c>
    </row>
    <row r="106" spans="1:36" ht="12.75">
      <c r="A106" s="6">
        <v>7.13</v>
      </c>
      <c r="B106" s="33"/>
      <c r="C106" s="33" t="s">
        <v>51</v>
      </c>
      <c r="D106" s="74"/>
      <c r="E106" s="75" t="str">
        <f t="shared" si="18"/>
        <v/>
      </c>
      <c r="F106" s="75" t="str">
        <f t="shared" si="19"/>
        <v/>
      </c>
      <c r="G106" s="75" t="str">
        <f t="shared" si="20"/>
        <v/>
      </c>
      <c r="H106" s="75" t="str">
        <f t="shared" si="21"/>
        <v/>
      </c>
      <c r="I106" s="75" t="str">
        <f t="shared" si="22"/>
        <v/>
      </c>
      <c r="J106" s="74" t="str">
        <f t="shared" ca="1" si="23"/>
        <v/>
      </c>
      <c r="K106" s="74" t="str">
        <f ca="1">INDIRECT(""&amp;$C106&amp;"!e106")</f>
        <v/>
      </c>
      <c r="L106" s="74" t="str">
        <f ca="1">INDIRECT(""&amp;$C106&amp;"!f106")</f>
        <v/>
      </c>
      <c r="M106" s="74" t="str">
        <f ca="1">INDIRECT(""&amp;$C106&amp;"!g106")</f>
        <v/>
      </c>
      <c r="N106" s="74" t="str">
        <f ca="1">INDIRECT(""&amp;$C106&amp;"!h106")</f>
        <v/>
      </c>
      <c r="O106" s="74" t="str">
        <f ca="1">INDIRECT(""&amp;$C106&amp;"!i106")</f>
        <v/>
      </c>
      <c r="P106" s="5" t="str">
        <f t="shared" ref="P106:P123" si="28">IF(D106="","input starter in column D",IF(D106=D105,"not enough rest",IF(D106=D104,"not enough rest",(IF(D106=D103,"not enough rest",IF(D106=D102,"not enough rest","ok"))))))</f>
        <v>input starter in column D</v>
      </c>
      <c r="Q106" s="5" t="str">
        <f t="shared" si="27"/>
        <v/>
      </c>
      <c r="R106" s="10">
        <v>1</v>
      </c>
      <c r="AJ106" s="33" t="str">
        <f t="shared" ca="1" si="17"/>
        <v>GCW</v>
      </c>
    </row>
    <row r="107" spans="1:36" ht="12.75">
      <c r="A107" s="6">
        <v>7.14</v>
      </c>
      <c r="B107" s="33"/>
      <c r="C107" s="33" t="s">
        <v>51</v>
      </c>
      <c r="D107" s="74"/>
      <c r="E107" s="75" t="str">
        <f t="shared" si="18"/>
        <v/>
      </c>
      <c r="F107" s="75" t="str">
        <f t="shared" si="19"/>
        <v/>
      </c>
      <c r="G107" s="75" t="str">
        <f t="shared" si="20"/>
        <v/>
      </c>
      <c r="H107" s="75" t="str">
        <f t="shared" si="21"/>
        <v/>
      </c>
      <c r="I107" s="75" t="str">
        <f t="shared" si="22"/>
        <v/>
      </c>
      <c r="J107" s="74" t="str">
        <f t="shared" ca="1" si="23"/>
        <v/>
      </c>
      <c r="K107" s="74" t="str">
        <f ca="1">INDIRECT(""&amp;$C107&amp;"!e107")</f>
        <v/>
      </c>
      <c r="L107" s="74" t="str">
        <f ca="1">INDIRECT(""&amp;$C107&amp;"!f107")</f>
        <v/>
      </c>
      <c r="M107" s="74" t="str">
        <f ca="1">INDIRECT(""&amp;$C107&amp;"!g107")</f>
        <v/>
      </c>
      <c r="N107" s="74" t="str">
        <f ca="1">INDIRECT(""&amp;$C107&amp;"!h107")</f>
        <v/>
      </c>
      <c r="O107" s="74" t="str">
        <f ca="1">INDIRECT(""&amp;$C107&amp;"!i107")</f>
        <v/>
      </c>
      <c r="P107" s="5" t="str">
        <f t="shared" si="28"/>
        <v>input starter in column D</v>
      </c>
      <c r="Q107" s="5" t="str">
        <f t="shared" si="27"/>
        <v/>
      </c>
      <c r="R107" s="10">
        <v>2</v>
      </c>
      <c r="AJ107" s="33" t="str">
        <f t="shared" ca="1" si="17"/>
        <v>GCW</v>
      </c>
    </row>
    <row r="108" spans="1:36" ht="12.75">
      <c r="A108" s="6">
        <v>7.15</v>
      </c>
      <c r="B108" s="33"/>
      <c r="C108" s="33" t="s">
        <v>51</v>
      </c>
      <c r="D108" s="74"/>
      <c r="E108" s="75" t="str">
        <f t="shared" si="18"/>
        <v/>
      </c>
      <c r="F108" s="75" t="str">
        <f t="shared" si="19"/>
        <v/>
      </c>
      <c r="G108" s="75" t="str">
        <f t="shared" si="20"/>
        <v/>
      </c>
      <c r="H108" s="75" t="str">
        <f t="shared" si="21"/>
        <v/>
      </c>
      <c r="I108" s="75" t="str">
        <f t="shared" si="22"/>
        <v/>
      </c>
      <c r="J108" s="74" t="str">
        <f t="shared" ca="1" si="23"/>
        <v/>
      </c>
      <c r="K108" s="74" t="str">
        <f ca="1">INDIRECT(""&amp;$C108&amp;"!e108")</f>
        <v/>
      </c>
      <c r="L108" s="74" t="str">
        <f ca="1">INDIRECT(""&amp;$C108&amp;"!f108")</f>
        <v/>
      </c>
      <c r="M108" s="74" t="str">
        <f ca="1">INDIRECT(""&amp;$C108&amp;"!g108")</f>
        <v/>
      </c>
      <c r="N108" s="74" t="str">
        <f ca="1">INDIRECT(""&amp;$C108&amp;"!h108")</f>
        <v/>
      </c>
      <c r="O108" s="74" t="str">
        <f ca="1">INDIRECT(""&amp;$C108&amp;"!i108")</f>
        <v/>
      </c>
      <c r="P108" s="5" t="str">
        <f t="shared" si="28"/>
        <v>input starter in column D</v>
      </c>
      <c r="Q108" s="5" t="str">
        <f t="shared" si="27"/>
        <v/>
      </c>
      <c r="R108" s="10">
        <v>3</v>
      </c>
      <c r="AJ108" s="33" t="str">
        <f t="shared" ca="1" si="17"/>
        <v>GCW</v>
      </c>
    </row>
    <row r="109" spans="1:36" ht="12.75">
      <c r="A109" s="6">
        <v>7.16</v>
      </c>
      <c r="B109" s="33" t="s">
        <v>32</v>
      </c>
      <c r="C109" s="33" t="s">
        <v>52</v>
      </c>
      <c r="D109" s="74"/>
      <c r="E109" s="75" t="str">
        <f t="shared" si="18"/>
        <v/>
      </c>
      <c r="F109" s="75" t="str">
        <f t="shared" si="19"/>
        <v/>
      </c>
      <c r="G109" s="75" t="str">
        <f t="shared" si="20"/>
        <v/>
      </c>
      <c r="H109" s="75" t="str">
        <f t="shared" si="21"/>
        <v/>
      </c>
      <c r="I109" s="75" t="str">
        <f t="shared" si="22"/>
        <v/>
      </c>
      <c r="J109" s="74" t="str">
        <f t="shared" ca="1" si="23"/>
        <v/>
      </c>
      <c r="K109" s="74" t="str">
        <f ca="1">INDIRECT(""&amp;$C109&amp;"!e109")</f>
        <v/>
      </c>
      <c r="L109" s="74" t="str">
        <f ca="1">INDIRECT(""&amp;$C109&amp;"!f109")</f>
        <v/>
      </c>
      <c r="M109" s="74" t="str">
        <f ca="1">INDIRECT(""&amp;$C109&amp;"!g109")</f>
        <v/>
      </c>
      <c r="N109" s="74" t="str">
        <f ca="1">INDIRECT(""&amp;$C109&amp;"!h109")</f>
        <v/>
      </c>
      <c r="O109" s="74" t="str">
        <f ca="1">INDIRECT(""&amp;$C109&amp;"!i109")</f>
        <v/>
      </c>
      <c r="P109" s="5" t="str">
        <f t="shared" si="28"/>
        <v>input starter in column D</v>
      </c>
      <c r="Q109" s="5" t="str">
        <f t="shared" si="27"/>
        <v/>
      </c>
      <c r="R109" s="10">
        <v>4</v>
      </c>
      <c r="AJ109" s="33" t="str">
        <f t="shared" ca="1" si="17"/>
        <v>GCW</v>
      </c>
    </row>
    <row r="110" spans="1:36" ht="12.75">
      <c r="A110" s="6">
        <v>7.17</v>
      </c>
      <c r="B110" s="33" t="s">
        <v>32</v>
      </c>
      <c r="C110" s="33" t="s">
        <v>52</v>
      </c>
      <c r="D110" s="74"/>
      <c r="E110" s="75" t="str">
        <f t="shared" si="18"/>
        <v/>
      </c>
      <c r="F110" s="75" t="str">
        <f t="shared" si="19"/>
        <v/>
      </c>
      <c r="G110" s="75" t="str">
        <f t="shared" si="20"/>
        <v/>
      </c>
      <c r="H110" s="75" t="str">
        <f t="shared" si="21"/>
        <v/>
      </c>
      <c r="I110" s="75" t="str">
        <f t="shared" si="22"/>
        <v/>
      </c>
      <c r="J110" s="74" t="str">
        <f t="shared" ca="1" si="23"/>
        <v/>
      </c>
      <c r="K110" s="74" t="str">
        <f ca="1">INDIRECT(""&amp;$C110&amp;"!e110")</f>
        <v/>
      </c>
      <c r="L110" s="74" t="str">
        <f ca="1">INDIRECT(""&amp;$C110&amp;"!f110")</f>
        <v/>
      </c>
      <c r="M110" s="74" t="str">
        <f ca="1">INDIRECT(""&amp;$C110&amp;"!g110")</f>
        <v/>
      </c>
      <c r="N110" s="74" t="str">
        <f ca="1">INDIRECT(""&amp;$C110&amp;"!h110")</f>
        <v/>
      </c>
      <c r="O110" s="74" t="str">
        <f ca="1">INDIRECT(""&amp;$C110&amp;"!i110")</f>
        <v/>
      </c>
      <c r="P110" s="5" t="str">
        <f t="shared" si="28"/>
        <v>input starter in column D</v>
      </c>
      <c r="Q110" s="5" t="str">
        <f t="shared" si="27"/>
        <v/>
      </c>
      <c r="R110" s="10">
        <v>5</v>
      </c>
      <c r="AJ110" s="33" t="str">
        <f t="shared" ca="1" si="17"/>
        <v>GCW</v>
      </c>
    </row>
    <row r="111" spans="1:36" ht="12.75">
      <c r="A111" s="6">
        <v>7.18</v>
      </c>
      <c r="B111" s="33" t="s">
        <v>32</v>
      </c>
      <c r="C111" s="33" t="s">
        <v>52</v>
      </c>
      <c r="D111" s="74"/>
      <c r="E111" s="75" t="str">
        <f t="shared" si="18"/>
        <v/>
      </c>
      <c r="F111" s="75" t="str">
        <f t="shared" si="19"/>
        <v/>
      </c>
      <c r="G111" s="75" t="str">
        <f t="shared" si="20"/>
        <v/>
      </c>
      <c r="H111" s="75" t="str">
        <f t="shared" si="21"/>
        <v/>
      </c>
      <c r="I111" s="75" t="str">
        <f t="shared" si="22"/>
        <v/>
      </c>
      <c r="J111" s="74" t="str">
        <f t="shared" ca="1" si="23"/>
        <v/>
      </c>
      <c r="K111" s="74" t="str">
        <f ca="1">INDIRECT(""&amp;$C111&amp;"!e111")</f>
        <v/>
      </c>
      <c r="L111" s="74" t="str">
        <f ca="1">INDIRECT(""&amp;$C111&amp;"!f111")</f>
        <v/>
      </c>
      <c r="M111" s="74" t="str">
        <f ca="1">INDIRECT(""&amp;$C111&amp;"!g111")</f>
        <v/>
      </c>
      <c r="N111" s="74" t="str">
        <f ca="1">INDIRECT(""&amp;$C111&amp;"!h111")</f>
        <v/>
      </c>
      <c r="O111" s="74" t="str">
        <f ca="1">INDIRECT(""&amp;$C111&amp;"!i111")</f>
        <v/>
      </c>
      <c r="P111" s="5" t="str">
        <f t="shared" si="28"/>
        <v>input starter in column D</v>
      </c>
      <c r="Q111" s="5" t="str">
        <f t="shared" si="27"/>
        <v/>
      </c>
      <c r="R111" s="10">
        <v>1</v>
      </c>
      <c r="AJ111" s="33" t="str">
        <f t="shared" ca="1" si="17"/>
        <v>GCW</v>
      </c>
    </row>
    <row r="112" spans="1:36" ht="12.75">
      <c r="A112" s="6">
        <v>7.19</v>
      </c>
      <c r="B112" s="33"/>
      <c r="C112" s="33" t="s">
        <v>40</v>
      </c>
      <c r="D112" s="74"/>
      <c r="E112" s="75" t="str">
        <f t="shared" si="18"/>
        <v/>
      </c>
      <c r="F112" s="75" t="str">
        <f t="shared" si="19"/>
        <v/>
      </c>
      <c r="G112" s="75" t="str">
        <f t="shared" si="20"/>
        <v/>
      </c>
      <c r="H112" s="75" t="str">
        <f t="shared" si="21"/>
        <v/>
      </c>
      <c r="I112" s="75" t="str">
        <f t="shared" si="22"/>
        <v/>
      </c>
      <c r="J112" s="74" t="str">
        <f t="shared" ca="1" si="23"/>
        <v/>
      </c>
      <c r="K112" s="74" t="str">
        <f ca="1">INDIRECT(""&amp;$C112&amp;"!e112")</f>
        <v/>
      </c>
      <c r="L112" s="74" t="str">
        <f ca="1">INDIRECT(""&amp;$C112&amp;"!f112")</f>
        <v/>
      </c>
      <c r="M112" s="74" t="str">
        <f ca="1">INDIRECT(""&amp;$C112&amp;"!g112")</f>
        <v/>
      </c>
      <c r="N112" s="74" t="str">
        <f ca="1">INDIRECT(""&amp;$C112&amp;"!h112")</f>
        <v/>
      </c>
      <c r="O112" s="74" t="str">
        <f ca="1">INDIRECT(""&amp;$C112&amp;"!i112")</f>
        <v/>
      </c>
      <c r="P112" s="5" t="str">
        <f t="shared" si="28"/>
        <v>input starter in column D</v>
      </c>
      <c r="Q112" s="5" t="str">
        <f t="shared" si="27"/>
        <v/>
      </c>
      <c r="R112" s="10">
        <v>2</v>
      </c>
      <c r="AJ112" s="33" t="str">
        <f t="shared" ca="1" si="17"/>
        <v>GCW</v>
      </c>
    </row>
    <row r="113" spans="1:36" ht="12.75">
      <c r="A113" s="6">
        <v>7.2</v>
      </c>
      <c r="B113" s="33"/>
      <c r="C113" s="33" t="s">
        <v>40</v>
      </c>
      <c r="D113" s="74"/>
      <c r="E113" s="75" t="str">
        <f t="shared" si="18"/>
        <v/>
      </c>
      <c r="F113" s="75" t="str">
        <f t="shared" si="19"/>
        <v/>
      </c>
      <c r="G113" s="75" t="str">
        <f t="shared" si="20"/>
        <v/>
      </c>
      <c r="H113" s="75" t="str">
        <f t="shared" si="21"/>
        <v/>
      </c>
      <c r="I113" s="75" t="str">
        <f t="shared" si="22"/>
        <v/>
      </c>
      <c r="J113" s="74" t="str">
        <f t="shared" ca="1" si="23"/>
        <v/>
      </c>
      <c r="K113" s="74" t="str">
        <f ca="1">INDIRECT(""&amp;$C113&amp;"!e113")</f>
        <v/>
      </c>
      <c r="L113" s="74" t="str">
        <f ca="1">INDIRECT(""&amp;$C113&amp;"!f113")</f>
        <v/>
      </c>
      <c r="M113" s="74" t="str">
        <f ca="1">INDIRECT(""&amp;$C113&amp;"!g113")</f>
        <v/>
      </c>
      <c r="N113" s="74" t="str">
        <f ca="1">INDIRECT(""&amp;$C113&amp;"!h113")</f>
        <v/>
      </c>
      <c r="O113" s="74" t="str">
        <f ca="1">INDIRECT(""&amp;$C113&amp;"!i113")</f>
        <v/>
      </c>
      <c r="P113" s="5" t="str">
        <f t="shared" si="28"/>
        <v>input starter in column D</v>
      </c>
      <c r="Q113" s="5" t="str">
        <f t="shared" si="27"/>
        <v/>
      </c>
      <c r="R113" s="10">
        <v>3</v>
      </c>
      <c r="AJ113" s="33" t="str">
        <f t="shared" ca="1" si="17"/>
        <v>GCW</v>
      </c>
    </row>
    <row r="114" spans="1:36" ht="12.75">
      <c r="A114" s="6">
        <v>7.21</v>
      </c>
      <c r="B114" s="33"/>
      <c r="C114" s="33" t="s">
        <v>40</v>
      </c>
      <c r="D114" s="74"/>
      <c r="E114" s="75" t="str">
        <f t="shared" si="18"/>
        <v/>
      </c>
      <c r="F114" s="75" t="str">
        <f t="shared" si="19"/>
        <v/>
      </c>
      <c r="G114" s="75" t="str">
        <f t="shared" si="20"/>
        <v/>
      </c>
      <c r="H114" s="75" t="str">
        <f t="shared" si="21"/>
        <v/>
      </c>
      <c r="I114" s="75" t="str">
        <f t="shared" si="22"/>
        <v/>
      </c>
      <c r="J114" s="74" t="str">
        <f t="shared" ca="1" si="23"/>
        <v/>
      </c>
      <c r="K114" s="74" t="str">
        <f ca="1">INDIRECT(""&amp;$C114&amp;"!e114")</f>
        <v/>
      </c>
      <c r="L114" s="74" t="str">
        <f ca="1">INDIRECT(""&amp;$C114&amp;"!f114")</f>
        <v/>
      </c>
      <c r="M114" s="74" t="str">
        <f ca="1">INDIRECT(""&amp;$C114&amp;"!g114")</f>
        <v/>
      </c>
      <c r="N114" s="74" t="str">
        <f ca="1">INDIRECT(""&amp;$C114&amp;"!h114")</f>
        <v/>
      </c>
      <c r="O114" s="74" t="str">
        <f ca="1">INDIRECT(""&amp;$C114&amp;"!i114")</f>
        <v/>
      </c>
      <c r="P114" s="5" t="str">
        <f t="shared" si="28"/>
        <v>input starter in column D</v>
      </c>
      <c r="Q114" s="5" t="str">
        <f t="shared" si="27"/>
        <v/>
      </c>
      <c r="R114" s="10">
        <v>4</v>
      </c>
      <c r="AJ114" s="33" t="str">
        <f t="shared" ca="1" si="17"/>
        <v>GCW</v>
      </c>
    </row>
    <row r="115" spans="1:36" ht="12.75">
      <c r="A115" s="6">
        <v>7.22</v>
      </c>
      <c r="B115" s="33"/>
      <c r="C115" s="33" t="s">
        <v>40</v>
      </c>
      <c r="D115" s="74"/>
      <c r="E115" s="75" t="str">
        <f t="shared" si="18"/>
        <v/>
      </c>
      <c r="F115" s="75" t="str">
        <f t="shared" si="19"/>
        <v/>
      </c>
      <c r="G115" s="75" t="str">
        <f t="shared" si="20"/>
        <v/>
      </c>
      <c r="H115" s="75" t="str">
        <f t="shared" si="21"/>
        <v/>
      </c>
      <c r="I115" s="75" t="str">
        <f t="shared" si="22"/>
        <v/>
      </c>
      <c r="J115" s="74" t="str">
        <f t="shared" ca="1" si="23"/>
        <v/>
      </c>
      <c r="K115" s="74" t="str">
        <f ca="1">INDIRECT(""&amp;$C115&amp;"!e115")</f>
        <v/>
      </c>
      <c r="L115" s="74" t="str">
        <f ca="1">INDIRECT(""&amp;$C115&amp;"!f115")</f>
        <v/>
      </c>
      <c r="M115" s="74" t="str">
        <f ca="1">INDIRECT(""&amp;$C115&amp;"!g115")</f>
        <v/>
      </c>
      <c r="N115" s="74" t="str">
        <f ca="1">INDIRECT(""&amp;$C115&amp;"!h115")</f>
        <v/>
      </c>
      <c r="O115" s="74" t="str">
        <f ca="1">INDIRECT(""&amp;$C115&amp;"!i115")</f>
        <v/>
      </c>
      <c r="P115" s="5" t="str">
        <f t="shared" si="28"/>
        <v>input starter in column D</v>
      </c>
      <c r="Q115" s="5" t="str">
        <f t="shared" si="27"/>
        <v/>
      </c>
      <c r="R115" s="10">
        <v>5</v>
      </c>
      <c r="AJ115" s="33" t="str">
        <f t="shared" ca="1" si="17"/>
        <v>GCW</v>
      </c>
    </row>
    <row r="116" spans="1:36" ht="12.75">
      <c r="A116" s="6">
        <v>7.23</v>
      </c>
      <c r="B116" s="33"/>
      <c r="C116" s="33" t="s">
        <v>12</v>
      </c>
      <c r="D116" s="74"/>
      <c r="E116" s="75" t="str">
        <f t="shared" si="18"/>
        <v/>
      </c>
      <c r="F116" s="75" t="str">
        <f t="shared" si="19"/>
        <v/>
      </c>
      <c r="G116" s="75" t="str">
        <f t="shared" si="20"/>
        <v/>
      </c>
      <c r="H116" s="75" t="str">
        <f t="shared" si="21"/>
        <v/>
      </c>
      <c r="I116" s="75" t="str">
        <f t="shared" si="22"/>
        <v/>
      </c>
      <c r="J116" s="74" t="str">
        <f t="shared" ca="1" si="23"/>
        <v/>
      </c>
      <c r="K116" s="74" t="str">
        <f ca="1">INDIRECT(""&amp;$C116&amp;"!e116")</f>
        <v/>
      </c>
      <c r="L116" s="74" t="str">
        <f ca="1">INDIRECT(""&amp;$C116&amp;"!f116")</f>
        <v/>
      </c>
      <c r="M116" s="74" t="str">
        <f ca="1">INDIRECT(""&amp;$C116&amp;"!g116")</f>
        <v/>
      </c>
      <c r="N116" s="74" t="str">
        <f ca="1">INDIRECT(""&amp;$C116&amp;"!h116")</f>
        <v/>
      </c>
      <c r="O116" s="74" t="str">
        <f ca="1">INDIRECT(""&amp;$C116&amp;"!i116")</f>
        <v/>
      </c>
      <c r="P116" s="5" t="str">
        <f t="shared" si="28"/>
        <v>input starter in column D</v>
      </c>
      <c r="Q116" s="5" t="str">
        <f t="shared" si="27"/>
        <v/>
      </c>
      <c r="R116" s="10">
        <v>1</v>
      </c>
      <c r="AJ116" s="33" t="str">
        <f t="shared" ca="1" si="17"/>
        <v>GCW</v>
      </c>
    </row>
    <row r="117" spans="1:36" ht="12.75">
      <c r="A117" s="6">
        <v>7.24</v>
      </c>
      <c r="B117" s="33"/>
      <c r="C117" s="33" t="s">
        <v>12</v>
      </c>
      <c r="D117" s="74"/>
      <c r="E117" s="75" t="str">
        <f t="shared" si="18"/>
        <v/>
      </c>
      <c r="F117" s="75" t="str">
        <f t="shared" si="19"/>
        <v/>
      </c>
      <c r="G117" s="75" t="str">
        <f t="shared" si="20"/>
        <v/>
      </c>
      <c r="H117" s="75" t="str">
        <f t="shared" si="21"/>
        <v/>
      </c>
      <c r="I117" s="75" t="str">
        <f t="shared" si="22"/>
        <v/>
      </c>
      <c r="J117" s="74" t="str">
        <f t="shared" ca="1" si="23"/>
        <v/>
      </c>
      <c r="K117" s="74" t="str">
        <f ca="1">INDIRECT(""&amp;$C117&amp;"!e117")</f>
        <v/>
      </c>
      <c r="L117" s="74" t="str">
        <f ca="1">INDIRECT(""&amp;$C117&amp;"!f117")</f>
        <v/>
      </c>
      <c r="M117" s="74" t="str">
        <f ca="1">INDIRECT(""&amp;$C117&amp;"!g117")</f>
        <v/>
      </c>
      <c r="N117" s="74" t="str">
        <f ca="1">INDIRECT(""&amp;$C117&amp;"!h117")</f>
        <v/>
      </c>
      <c r="O117" s="74" t="str">
        <f ca="1">INDIRECT(""&amp;$C117&amp;"!i117")</f>
        <v/>
      </c>
      <c r="P117" s="5" t="str">
        <f t="shared" si="28"/>
        <v>input starter in column D</v>
      </c>
      <c r="Q117" s="5" t="str">
        <f t="shared" si="27"/>
        <v/>
      </c>
      <c r="R117" s="10">
        <v>2</v>
      </c>
      <c r="AJ117" s="33" t="str">
        <f t="shared" ca="1" si="17"/>
        <v>GCW</v>
      </c>
    </row>
    <row r="118" spans="1:36" ht="12.75">
      <c r="A118" s="6">
        <v>7.25</v>
      </c>
      <c r="B118" s="33"/>
      <c r="C118" s="33" t="s">
        <v>12</v>
      </c>
      <c r="D118" s="74"/>
      <c r="E118" s="75" t="str">
        <f t="shared" si="18"/>
        <v/>
      </c>
      <c r="F118" s="75" t="str">
        <f t="shared" si="19"/>
        <v/>
      </c>
      <c r="G118" s="75" t="str">
        <f t="shared" si="20"/>
        <v/>
      </c>
      <c r="H118" s="75" t="str">
        <f t="shared" si="21"/>
        <v/>
      </c>
      <c r="I118" s="75" t="str">
        <f t="shared" si="22"/>
        <v/>
      </c>
      <c r="J118" s="74" t="str">
        <f t="shared" ca="1" si="23"/>
        <v/>
      </c>
      <c r="K118" s="74" t="str">
        <f ca="1">INDIRECT(""&amp;$C118&amp;"!e118")</f>
        <v/>
      </c>
      <c r="L118" s="74" t="str">
        <f ca="1">INDIRECT(""&amp;$C118&amp;"!f118")</f>
        <v/>
      </c>
      <c r="M118" s="74" t="str">
        <f ca="1">INDIRECT(""&amp;$C118&amp;"!g118")</f>
        <v/>
      </c>
      <c r="N118" s="74" t="str">
        <f ca="1">INDIRECT(""&amp;$C118&amp;"!h118")</f>
        <v/>
      </c>
      <c r="O118" s="74" t="str">
        <f ca="1">INDIRECT(""&amp;$C118&amp;"!i118")</f>
        <v/>
      </c>
      <c r="P118" s="5" t="str">
        <f t="shared" si="28"/>
        <v>input starter in column D</v>
      </c>
      <c r="Q118" s="5" t="str">
        <f t="shared" si="27"/>
        <v/>
      </c>
      <c r="R118" s="10">
        <v>3</v>
      </c>
      <c r="AJ118" s="33" t="str">
        <f t="shared" ca="1" si="17"/>
        <v>GCW</v>
      </c>
    </row>
    <row r="119" spans="1:36" ht="12.75">
      <c r="A119" s="6">
        <v>7.26</v>
      </c>
      <c r="B119" s="33"/>
      <c r="C119" s="33" t="s">
        <v>12</v>
      </c>
      <c r="D119" s="74"/>
      <c r="E119" s="75" t="str">
        <f t="shared" si="18"/>
        <v/>
      </c>
      <c r="F119" s="75" t="str">
        <f t="shared" si="19"/>
        <v/>
      </c>
      <c r="G119" s="75" t="str">
        <f t="shared" si="20"/>
        <v/>
      </c>
      <c r="H119" s="75" t="str">
        <f t="shared" si="21"/>
        <v/>
      </c>
      <c r="I119" s="75" t="str">
        <f t="shared" si="22"/>
        <v/>
      </c>
      <c r="J119" s="74" t="str">
        <f t="shared" ca="1" si="23"/>
        <v/>
      </c>
      <c r="K119" s="74" t="str">
        <f ca="1">INDIRECT(""&amp;$C119&amp;"!e119")</f>
        <v/>
      </c>
      <c r="L119" s="74" t="str">
        <f ca="1">INDIRECT(""&amp;$C119&amp;"!f119")</f>
        <v/>
      </c>
      <c r="M119" s="74" t="str">
        <f ca="1">INDIRECT(""&amp;$C119&amp;"!g119")</f>
        <v/>
      </c>
      <c r="N119" s="74" t="str">
        <f ca="1">INDIRECT(""&amp;$C119&amp;"!h119")</f>
        <v/>
      </c>
      <c r="O119" s="74" t="str">
        <f ca="1">INDIRECT(""&amp;$C119&amp;"!i119")</f>
        <v/>
      </c>
      <c r="P119" s="5" t="str">
        <f t="shared" si="28"/>
        <v>input starter in column D</v>
      </c>
      <c r="Q119" s="5" t="str">
        <f t="shared" si="27"/>
        <v/>
      </c>
      <c r="R119" s="10">
        <v>4</v>
      </c>
      <c r="AJ119" s="33" t="str">
        <f t="shared" ca="1" si="17"/>
        <v>GCW</v>
      </c>
    </row>
    <row r="120" spans="1:36" ht="12.75">
      <c r="A120" s="6">
        <v>7.27</v>
      </c>
      <c r="B120" s="32" t="s">
        <v>32</v>
      </c>
      <c r="C120" s="33" t="s">
        <v>44</v>
      </c>
      <c r="D120" s="74"/>
      <c r="E120" s="75" t="str">
        <f t="shared" si="18"/>
        <v/>
      </c>
      <c r="F120" s="75" t="str">
        <f t="shared" si="19"/>
        <v/>
      </c>
      <c r="G120" s="75" t="str">
        <f t="shared" si="20"/>
        <v/>
      </c>
      <c r="H120" s="75" t="str">
        <f t="shared" si="21"/>
        <v/>
      </c>
      <c r="I120" s="75" t="str">
        <f t="shared" si="22"/>
        <v/>
      </c>
      <c r="J120" s="74" t="str">
        <f t="shared" ca="1" si="23"/>
        <v/>
      </c>
      <c r="K120" s="74" t="str">
        <f ca="1">INDIRECT(""&amp;$C120&amp;"!e120")</f>
        <v/>
      </c>
      <c r="L120" s="74" t="str">
        <f ca="1">INDIRECT(""&amp;$C120&amp;"!f120")</f>
        <v/>
      </c>
      <c r="M120" s="74" t="str">
        <f ca="1">INDIRECT(""&amp;$C120&amp;"!g120")</f>
        <v/>
      </c>
      <c r="N120" s="74" t="str">
        <f ca="1">INDIRECT(""&amp;$C120&amp;"!h120")</f>
        <v/>
      </c>
      <c r="O120" s="74" t="str">
        <f ca="1">INDIRECT(""&amp;$C120&amp;"!i120")</f>
        <v/>
      </c>
      <c r="P120" s="5" t="str">
        <f t="shared" si="28"/>
        <v>input starter in column D</v>
      </c>
      <c r="Q120" s="5" t="str">
        <f t="shared" si="27"/>
        <v/>
      </c>
      <c r="R120" s="10">
        <v>5</v>
      </c>
      <c r="AJ120" s="33" t="str">
        <f t="shared" ca="1" si="17"/>
        <v>GCW</v>
      </c>
    </row>
    <row r="121" spans="1:36" ht="12.75">
      <c r="A121" s="6">
        <v>7.28</v>
      </c>
      <c r="B121" s="32" t="s">
        <v>32</v>
      </c>
      <c r="C121" s="33" t="s">
        <v>44</v>
      </c>
      <c r="D121" s="74"/>
      <c r="E121" s="75" t="str">
        <f t="shared" si="18"/>
        <v/>
      </c>
      <c r="F121" s="75" t="str">
        <f t="shared" si="19"/>
        <v/>
      </c>
      <c r="G121" s="75" t="str">
        <f t="shared" si="20"/>
        <v/>
      </c>
      <c r="H121" s="75" t="str">
        <f t="shared" si="21"/>
        <v/>
      </c>
      <c r="I121" s="75" t="str">
        <f t="shared" si="22"/>
        <v/>
      </c>
      <c r="J121" s="74" t="str">
        <f t="shared" ca="1" si="23"/>
        <v/>
      </c>
      <c r="K121" s="74" t="str">
        <f ca="1">INDIRECT(""&amp;$C121&amp;"!e121")</f>
        <v/>
      </c>
      <c r="L121" s="74" t="str">
        <f ca="1">INDIRECT(""&amp;$C121&amp;"!f121")</f>
        <v/>
      </c>
      <c r="M121" s="74" t="str">
        <f ca="1">INDIRECT(""&amp;$C121&amp;"!g121")</f>
        <v/>
      </c>
      <c r="N121" s="74" t="str">
        <f ca="1">INDIRECT(""&amp;$C121&amp;"!h121")</f>
        <v/>
      </c>
      <c r="O121" s="74" t="str">
        <f ca="1">INDIRECT(""&amp;$C121&amp;"!i121")</f>
        <v/>
      </c>
      <c r="P121" s="5" t="str">
        <f t="shared" si="28"/>
        <v>input starter in column D</v>
      </c>
      <c r="Q121" s="5" t="str">
        <f t="shared" si="27"/>
        <v/>
      </c>
      <c r="R121" s="10">
        <v>1</v>
      </c>
      <c r="AJ121" s="33" t="str">
        <f t="shared" ca="1" si="17"/>
        <v>GCW</v>
      </c>
    </row>
    <row r="122" spans="1:36" ht="12.75">
      <c r="A122" s="6">
        <v>7.29</v>
      </c>
      <c r="B122" s="32" t="s">
        <v>32</v>
      </c>
      <c r="C122" s="33" t="s">
        <v>44</v>
      </c>
      <c r="D122" s="74"/>
      <c r="E122" s="75" t="str">
        <f t="shared" si="18"/>
        <v/>
      </c>
      <c r="F122" s="75" t="str">
        <f t="shared" si="19"/>
        <v/>
      </c>
      <c r="G122" s="75" t="str">
        <f t="shared" si="20"/>
        <v/>
      </c>
      <c r="H122" s="75" t="str">
        <f t="shared" si="21"/>
        <v/>
      </c>
      <c r="I122" s="75" t="str">
        <f t="shared" si="22"/>
        <v/>
      </c>
      <c r="J122" s="74" t="str">
        <f t="shared" ca="1" si="23"/>
        <v/>
      </c>
      <c r="K122" s="74" t="str">
        <f ca="1">INDIRECT(""&amp;$C122&amp;"!e122")</f>
        <v/>
      </c>
      <c r="L122" s="74" t="str">
        <f ca="1">INDIRECT(""&amp;$C122&amp;"!f122")</f>
        <v/>
      </c>
      <c r="M122" s="74" t="str">
        <f ca="1">INDIRECT(""&amp;$C122&amp;"!g122")</f>
        <v/>
      </c>
      <c r="N122" s="74" t="str">
        <f ca="1">INDIRECT(""&amp;$C122&amp;"!h122")</f>
        <v/>
      </c>
      <c r="O122" s="74" t="str">
        <f ca="1">INDIRECT(""&amp;$C122&amp;"!i122")</f>
        <v/>
      </c>
      <c r="P122" s="5" t="str">
        <f t="shared" si="28"/>
        <v>input starter in column D</v>
      </c>
      <c r="Q122" s="5" t="str">
        <f t="shared" si="27"/>
        <v/>
      </c>
      <c r="R122" s="10">
        <v>2</v>
      </c>
      <c r="AJ122" s="33" t="str">
        <f t="shared" ca="1" si="17"/>
        <v>GCW</v>
      </c>
    </row>
    <row r="123" spans="1:36" ht="12.75">
      <c r="A123" s="6">
        <v>7.3</v>
      </c>
      <c r="B123" s="32" t="s">
        <v>32</v>
      </c>
      <c r="C123" s="33" t="s">
        <v>44</v>
      </c>
      <c r="D123" s="74"/>
      <c r="E123" s="75" t="str">
        <f t="shared" si="18"/>
        <v/>
      </c>
      <c r="F123" s="75" t="str">
        <f t="shared" si="19"/>
        <v/>
      </c>
      <c r="G123" s="75" t="str">
        <f t="shared" si="20"/>
        <v/>
      </c>
      <c r="H123" s="75" t="str">
        <f t="shared" si="21"/>
        <v/>
      </c>
      <c r="I123" s="75" t="str">
        <f t="shared" si="22"/>
        <v/>
      </c>
      <c r="J123" s="74" t="str">
        <f t="shared" ca="1" si="23"/>
        <v/>
      </c>
      <c r="K123" s="74" t="str">
        <f ca="1">INDIRECT(""&amp;$C123&amp;"!e123")</f>
        <v/>
      </c>
      <c r="L123" s="74" t="str">
        <f ca="1">INDIRECT(""&amp;$C123&amp;"!f123")</f>
        <v/>
      </c>
      <c r="M123" s="74" t="str">
        <f ca="1">INDIRECT(""&amp;$C123&amp;"!g123")</f>
        <v/>
      </c>
      <c r="N123" s="74" t="str">
        <f ca="1">INDIRECT(""&amp;$C123&amp;"!h123")</f>
        <v/>
      </c>
      <c r="O123" s="74" t="str">
        <f ca="1">INDIRECT(""&amp;$C123&amp;"!i123")</f>
        <v/>
      </c>
      <c r="P123" s="5" t="str">
        <f t="shared" si="28"/>
        <v>input starter in column D</v>
      </c>
      <c r="Q123" s="5" t="str">
        <f t="shared" si="27"/>
        <v/>
      </c>
      <c r="R123" s="10">
        <v>3</v>
      </c>
      <c r="AJ123" s="33" t="str">
        <f t="shared" ca="1" si="17"/>
        <v>GCW</v>
      </c>
    </row>
    <row r="124" spans="1:36" ht="12.75">
      <c r="A124" s="6">
        <v>7.31</v>
      </c>
      <c r="B124" s="33"/>
      <c r="C124" s="33"/>
      <c r="D124" s="74"/>
      <c r="E124" s="75"/>
      <c r="F124" s="75"/>
      <c r="G124" s="75"/>
      <c r="H124" s="75"/>
      <c r="I124" s="75"/>
      <c r="J124" s="74"/>
      <c r="K124" s="74"/>
      <c r="L124" s="74"/>
      <c r="M124" s="74"/>
      <c r="N124" s="74"/>
      <c r="O124" s="74"/>
      <c r="P124" s="1"/>
      <c r="Q124" s="1"/>
      <c r="R124" s="10"/>
      <c r="AJ124" s="33" t="str">
        <f t="shared" ca="1" si="17"/>
        <v/>
      </c>
    </row>
    <row r="125" spans="1:36" ht="12.75">
      <c r="A125" s="6">
        <v>8.01</v>
      </c>
      <c r="B125" s="33" t="s">
        <v>32</v>
      </c>
      <c r="C125" s="33" t="s">
        <v>45</v>
      </c>
      <c r="D125" s="74"/>
      <c r="E125" s="75" t="str">
        <f t="shared" si="18"/>
        <v/>
      </c>
      <c r="F125" s="75" t="str">
        <f t="shared" si="19"/>
        <v/>
      </c>
      <c r="G125" s="75" t="str">
        <f t="shared" si="20"/>
        <v/>
      </c>
      <c r="H125" s="75" t="str">
        <f t="shared" si="21"/>
        <v/>
      </c>
      <c r="I125" s="75" t="str">
        <f t="shared" si="22"/>
        <v/>
      </c>
      <c r="J125" s="74" t="str">
        <f t="shared" ca="1" si="23"/>
        <v/>
      </c>
      <c r="K125" s="74" t="str">
        <f ca="1">INDIRECT(""&amp;$C125&amp;"!e125")</f>
        <v/>
      </c>
      <c r="L125" s="74" t="str">
        <f ca="1">INDIRECT(""&amp;$C125&amp;"!f125")</f>
        <v/>
      </c>
      <c r="M125" s="74" t="str">
        <f ca="1">INDIRECT(""&amp;$C125&amp;"!g125")</f>
        <v/>
      </c>
      <c r="N125" s="74" t="str">
        <f ca="1">INDIRECT(""&amp;$C125&amp;"!h125")</f>
        <v/>
      </c>
      <c r="O125" s="74" t="str">
        <f ca="1">INDIRECT(""&amp;$C125&amp;"!i125")</f>
        <v/>
      </c>
      <c r="P125" s="5" t="str">
        <f t="shared" ref="P125:P137" si="29">IF(D125="","input starter in column D",IF(D125=D124,"not enough rest",IF(D125=D123,"not enough rest",(IF(D125=D122,"not enough rest",IF(D125=D121,"not enough rest","ok"))))))</f>
        <v>input starter in column D</v>
      </c>
      <c r="Q125" s="5" t="str">
        <f t="shared" si="27"/>
        <v/>
      </c>
      <c r="R125" s="10">
        <v>4</v>
      </c>
      <c r="AJ125" s="33" t="str">
        <f t="shared" ca="1" si="17"/>
        <v>GCW</v>
      </c>
    </row>
    <row r="126" spans="1:36" ht="12.75">
      <c r="A126" s="6">
        <v>8.02</v>
      </c>
      <c r="B126" s="33" t="s">
        <v>32</v>
      </c>
      <c r="C126" s="33" t="s">
        <v>45</v>
      </c>
      <c r="D126" s="74"/>
      <c r="E126" s="75" t="str">
        <f t="shared" si="18"/>
        <v/>
      </c>
      <c r="F126" s="75" t="str">
        <f t="shared" si="19"/>
        <v/>
      </c>
      <c r="G126" s="75" t="str">
        <f t="shared" si="20"/>
        <v/>
      </c>
      <c r="H126" s="75" t="str">
        <f t="shared" si="21"/>
        <v/>
      </c>
      <c r="I126" s="75" t="str">
        <f t="shared" si="22"/>
        <v/>
      </c>
      <c r="J126" s="74" t="str">
        <f t="shared" ca="1" si="23"/>
        <v/>
      </c>
      <c r="K126" s="74" t="str">
        <f ca="1">INDIRECT(""&amp;$C126&amp;"!e126")</f>
        <v/>
      </c>
      <c r="L126" s="74" t="str">
        <f ca="1">INDIRECT(""&amp;$C126&amp;"!f126")</f>
        <v/>
      </c>
      <c r="M126" s="74" t="str">
        <f ca="1">INDIRECT(""&amp;$C126&amp;"!g126")</f>
        <v/>
      </c>
      <c r="N126" s="74" t="str">
        <f ca="1">INDIRECT(""&amp;$C126&amp;"!h126")</f>
        <v/>
      </c>
      <c r="O126" s="74" t="str">
        <f ca="1">INDIRECT(""&amp;$C126&amp;"!i126")</f>
        <v/>
      </c>
      <c r="P126" s="5" t="str">
        <f t="shared" si="29"/>
        <v>input starter in column D</v>
      </c>
      <c r="Q126" s="5" t="str">
        <f t="shared" si="27"/>
        <v/>
      </c>
      <c r="R126" s="10">
        <v>1</v>
      </c>
      <c r="AJ126" s="33" t="str">
        <f t="shared" ca="1" si="17"/>
        <v>GCW</v>
      </c>
    </row>
    <row r="127" spans="1:36" ht="12.75">
      <c r="A127" s="6">
        <v>8.0299999999999994</v>
      </c>
      <c r="B127" s="33" t="s">
        <v>32</v>
      </c>
      <c r="C127" s="33" t="s">
        <v>45</v>
      </c>
      <c r="D127" s="74"/>
      <c r="E127" s="75" t="str">
        <f t="shared" si="18"/>
        <v/>
      </c>
      <c r="F127" s="75" t="str">
        <f t="shared" si="19"/>
        <v/>
      </c>
      <c r="G127" s="75" t="str">
        <f t="shared" si="20"/>
        <v/>
      </c>
      <c r="H127" s="75" t="str">
        <f t="shared" si="21"/>
        <v/>
      </c>
      <c r="I127" s="75" t="str">
        <f t="shared" si="22"/>
        <v/>
      </c>
      <c r="J127" s="74" t="str">
        <f t="shared" ca="1" si="23"/>
        <v/>
      </c>
      <c r="K127" s="74" t="str">
        <f ca="1">INDIRECT(""&amp;$C127&amp;"!e127")</f>
        <v/>
      </c>
      <c r="L127" s="74" t="str">
        <f ca="1">INDIRECT(""&amp;$C127&amp;"!f127")</f>
        <v/>
      </c>
      <c r="M127" s="74" t="str">
        <f ca="1">INDIRECT(""&amp;$C127&amp;"!g127")</f>
        <v/>
      </c>
      <c r="N127" s="74" t="str">
        <f ca="1">INDIRECT(""&amp;$C127&amp;"!h127")</f>
        <v/>
      </c>
      <c r="O127" s="74" t="str">
        <f ca="1">INDIRECT(""&amp;$C127&amp;"!i127")</f>
        <v/>
      </c>
      <c r="P127" s="5" t="str">
        <f t="shared" si="29"/>
        <v>input starter in column D</v>
      </c>
      <c r="Q127" s="5" t="str">
        <f t="shared" si="27"/>
        <v/>
      </c>
      <c r="R127" s="10">
        <v>2</v>
      </c>
      <c r="AJ127" s="33" t="str">
        <f t="shared" ca="1" si="17"/>
        <v>GCW</v>
      </c>
    </row>
    <row r="128" spans="1:36" ht="12.75">
      <c r="A128" s="6">
        <v>8.0399999999999991</v>
      </c>
      <c r="B128" s="33" t="s">
        <v>32</v>
      </c>
      <c r="C128" s="33" t="s">
        <v>45</v>
      </c>
      <c r="D128" s="74"/>
      <c r="E128" s="75" t="str">
        <f t="shared" si="18"/>
        <v/>
      </c>
      <c r="F128" s="75" t="str">
        <f t="shared" si="19"/>
        <v/>
      </c>
      <c r="G128" s="75" t="str">
        <f t="shared" si="20"/>
        <v/>
      </c>
      <c r="H128" s="75" t="str">
        <f t="shared" si="21"/>
        <v/>
      </c>
      <c r="I128" s="75" t="str">
        <f t="shared" si="22"/>
        <v/>
      </c>
      <c r="J128" s="74" t="str">
        <f t="shared" ca="1" si="23"/>
        <v/>
      </c>
      <c r="K128" s="74" t="str">
        <f ca="1">INDIRECT(""&amp;$C128&amp;"!e128")</f>
        <v/>
      </c>
      <c r="L128" s="74" t="str">
        <f ca="1">INDIRECT(""&amp;$C128&amp;"!f128")</f>
        <v/>
      </c>
      <c r="M128" s="74" t="str">
        <f ca="1">INDIRECT(""&amp;$C128&amp;"!g128")</f>
        <v/>
      </c>
      <c r="N128" s="74" t="str">
        <f ca="1">INDIRECT(""&amp;$C128&amp;"!h128")</f>
        <v/>
      </c>
      <c r="O128" s="74" t="str">
        <f ca="1">INDIRECT(""&amp;$C128&amp;"!i128")</f>
        <v/>
      </c>
      <c r="P128" s="5" t="str">
        <f t="shared" si="29"/>
        <v>input starter in column D</v>
      </c>
      <c r="Q128" s="5" t="str">
        <f t="shared" si="27"/>
        <v/>
      </c>
      <c r="R128" s="10">
        <v>3</v>
      </c>
      <c r="AJ128" s="33" t="str">
        <f t="shared" ca="1" si="17"/>
        <v>GCW</v>
      </c>
    </row>
    <row r="129" spans="1:36" ht="12.75">
      <c r="A129" s="6">
        <v>8.0500000000000007</v>
      </c>
      <c r="B129" s="33" t="s">
        <v>32</v>
      </c>
      <c r="C129" s="33" t="s">
        <v>49</v>
      </c>
      <c r="D129" s="74"/>
      <c r="E129" s="75" t="str">
        <f t="shared" si="18"/>
        <v/>
      </c>
      <c r="F129" s="75" t="str">
        <f t="shared" si="19"/>
        <v/>
      </c>
      <c r="G129" s="75" t="str">
        <f t="shared" si="20"/>
        <v/>
      </c>
      <c r="H129" s="75" t="str">
        <f t="shared" si="21"/>
        <v/>
      </c>
      <c r="I129" s="75" t="str">
        <f t="shared" si="22"/>
        <v/>
      </c>
      <c r="J129" s="74" t="str">
        <f t="shared" ca="1" si="23"/>
        <v/>
      </c>
      <c r="K129" s="74" t="str">
        <f ca="1">INDIRECT(""&amp;$C129&amp;"!e129")</f>
        <v/>
      </c>
      <c r="L129" s="74" t="str">
        <f ca="1">INDIRECT(""&amp;$C129&amp;"!f129")</f>
        <v/>
      </c>
      <c r="M129" s="74" t="str">
        <f ca="1">INDIRECT(""&amp;$C129&amp;"!g129")</f>
        <v/>
      </c>
      <c r="N129" s="74" t="str">
        <f ca="1">INDIRECT(""&amp;$C129&amp;"!h129")</f>
        <v/>
      </c>
      <c r="O129" s="74" t="str">
        <f ca="1">INDIRECT(""&amp;$C129&amp;"!i129")</f>
        <v/>
      </c>
      <c r="P129" s="5" t="str">
        <f t="shared" si="29"/>
        <v>input starter in column D</v>
      </c>
      <c r="Q129" s="5" t="str">
        <f t="shared" si="27"/>
        <v/>
      </c>
      <c r="R129" s="10">
        <v>5</v>
      </c>
      <c r="AJ129" s="33" t="str">
        <f t="shared" ca="1" si="17"/>
        <v>GCW</v>
      </c>
    </row>
    <row r="130" spans="1:36" ht="12.75">
      <c r="A130" s="6">
        <v>8.06</v>
      </c>
      <c r="B130" s="33" t="s">
        <v>32</v>
      </c>
      <c r="C130" s="33" t="s">
        <v>49</v>
      </c>
      <c r="D130" s="74"/>
      <c r="E130" s="75" t="str">
        <f t="shared" si="18"/>
        <v/>
      </c>
      <c r="F130" s="75" t="str">
        <f t="shared" si="19"/>
        <v/>
      </c>
      <c r="G130" s="75" t="str">
        <f t="shared" si="20"/>
        <v/>
      </c>
      <c r="H130" s="75" t="str">
        <f t="shared" si="21"/>
        <v/>
      </c>
      <c r="I130" s="75" t="str">
        <f t="shared" si="22"/>
        <v/>
      </c>
      <c r="J130" s="74" t="str">
        <f t="shared" ca="1" si="23"/>
        <v/>
      </c>
      <c r="K130" s="74" t="str">
        <f ca="1">INDIRECT(""&amp;$C130&amp;"!e130")</f>
        <v/>
      </c>
      <c r="L130" s="74" t="str">
        <f ca="1">INDIRECT(""&amp;$C130&amp;"!f130")</f>
        <v/>
      </c>
      <c r="M130" s="74" t="str">
        <f ca="1">INDIRECT(""&amp;$C130&amp;"!g130")</f>
        <v/>
      </c>
      <c r="N130" s="74" t="str">
        <f ca="1">INDIRECT(""&amp;$C130&amp;"!h130")</f>
        <v/>
      </c>
      <c r="O130" s="74" t="str">
        <f ca="1">INDIRECT(""&amp;$C130&amp;"!i130")</f>
        <v/>
      </c>
      <c r="P130" s="5" t="str">
        <f t="shared" si="29"/>
        <v>input starter in column D</v>
      </c>
      <c r="Q130" s="5" t="str">
        <f t="shared" si="27"/>
        <v/>
      </c>
      <c r="R130" s="10">
        <v>4</v>
      </c>
      <c r="AJ130" s="33" t="str">
        <f t="shared" ca="1" si="17"/>
        <v>GCW</v>
      </c>
    </row>
    <row r="131" spans="1:36" ht="12.75">
      <c r="A131" s="6">
        <v>8.07</v>
      </c>
      <c r="B131" s="33" t="s">
        <v>32</v>
      </c>
      <c r="C131" s="33" t="s">
        <v>49</v>
      </c>
      <c r="D131" s="74"/>
      <c r="E131" s="75" t="str">
        <f t="shared" si="18"/>
        <v/>
      </c>
      <c r="F131" s="75" t="str">
        <f t="shared" si="19"/>
        <v/>
      </c>
      <c r="G131" s="75" t="str">
        <f t="shared" si="20"/>
        <v/>
      </c>
      <c r="H131" s="75" t="str">
        <f t="shared" si="21"/>
        <v/>
      </c>
      <c r="I131" s="75" t="str">
        <f t="shared" si="22"/>
        <v/>
      </c>
      <c r="J131" s="74" t="str">
        <f t="shared" ca="1" si="23"/>
        <v/>
      </c>
      <c r="K131" s="74" t="str">
        <f ca="1">INDIRECT(""&amp;$C131&amp;"!e131")</f>
        <v/>
      </c>
      <c r="L131" s="74" t="str">
        <f ca="1">INDIRECT(""&amp;$C131&amp;"!f131")</f>
        <v/>
      </c>
      <c r="M131" s="74" t="str">
        <f ca="1">INDIRECT(""&amp;$C131&amp;"!g131")</f>
        <v/>
      </c>
      <c r="N131" s="74" t="str">
        <f ca="1">INDIRECT(""&amp;$C131&amp;"!h131")</f>
        <v/>
      </c>
      <c r="O131" s="74" t="str">
        <f ca="1">INDIRECT(""&amp;$C131&amp;"!i131")</f>
        <v/>
      </c>
      <c r="P131" s="5" t="str">
        <f t="shared" si="29"/>
        <v>input starter in column D</v>
      </c>
      <c r="Q131" s="5" t="str">
        <f t="shared" si="27"/>
        <v/>
      </c>
      <c r="R131" s="10">
        <v>1</v>
      </c>
      <c r="AJ131" s="33" t="str">
        <f t="shared" ref="AJ131:AJ185" ca="1" si="30">IF(ISERROR((INDIRECT(""&amp;$C131&amp;"!c"&amp;ROW(C131)))),"",(INDIRECT(""&amp;$C131&amp;"!c"&amp;ROW(C131))))</f>
        <v>GCW</v>
      </c>
    </row>
    <row r="132" spans="1:36" ht="12.75">
      <c r="A132" s="6">
        <v>8.08</v>
      </c>
      <c r="B132" s="33" t="s">
        <v>32</v>
      </c>
      <c r="C132" s="33" t="s">
        <v>49</v>
      </c>
      <c r="D132" s="74"/>
      <c r="E132" s="75" t="str">
        <f t="shared" ref="E132:E185" si="31">IF(ISERROR((VLOOKUP($D132,$S$3:$AE$22,3,FALSE))),"",(VLOOKUP($D132,$S$3:$AE$22,3,FALSE)))</f>
        <v/>
      </c>
      <c r="F132" s="75" t="str">
        <f t="shared" ref="F132:F185" si="32">IF(ISERROR((VLOOKUP($D132,$S$3:$AE$22,5,FALSE))),"",(VLOOKUP($D132,$S$3:$AE$22,5,FALSE)))</f>
        <v/>
      </c>
      <c r="G132" s="75" t="str">
        <f t="shared" ref="G132:G185" si="33">IF(ISERROR((VLOOKUP($D132,$S$3:$AE$22,10,FALSE))),"",(VLOOKUP($D132,$S$3:$AE$22,10,FALSE)))</f>
        <v/>
      </c>
      <c r="H132" s="75" t="str">
        <f t="shared" ref="H132:H185" si="34">IF(ISERROR((VLOOKUP($D132,$S$3:$AE$22,11,FALSE))),"",(VLOOKUP($D132,$S$3:$AE$22,11,FALSE)))</f>
        <v/>
      </c>
      <c r="I132" s="75" t="str">
        <f t="shared" ref="I132:I185" si="35">IF(ISERROR((VLOOKUP($D132,$S$3:$AE$22,12,FALSE))),"",(VLOOKUP($D132,$S$3:$AE$22,12,FALSE)))</f>
        <v/>
      </c>
      <c r="J132" s="74" t="str">
        <f t="shared" ref="J132:J185" ca="1" si="36">IF(INDIRECT(""&amp;$C132&amp;"!d"&amp;ROW(A132))="","",INDIRECT(""&amp;$C132&amp;"!d"&amp;ROW(A132)))</f>
        <v/>
      </c>
      <c r="K132" s="74" t="str">
        <f ca="1">INDIRECT(""&amp;$C132&amp;"!e132")</f>
        <v/>
      </c>
      <c r="L132" s="74" t="str">
        <f ca="1">INDIRECT(""&amp;$C132&amp;"!f132")</f>
        <v/>
      </c>
      <c r="M132" s="74" t="str">
        <f ca="1">INDIRECT(""&amp;$C132&amp;"!g132")</f>
        <v/>
      </c>
      <c r="N132" s="74" t="str">
        <f ca="1">INDIRECT(""&amp;$C132&amp;"!h132")</f>
        <v/>
      </c>
      <c r="O132" s="74" t="str">
        <f ca="1">INDIRECT(""&amp;$C132&amp;"!i132")</f>
        <v/>
      </c>
      <c r="P132" s="5" t="str">
        <f t="shared" si="29"/>
        <v>input starter in column D</v>
      </c>
      <c r="Q132" s="5" t="str">
        <f t="shared" si="27"/>
        <v/>
      </c>
      <c r="R132" s="10">
        <v>2</v>
      </c>
      <c r="AJ132" s="33" t="str">
        <f t="shared" ca="1" si="30"/>
        <v>GCW</v>
      </c>
    </row>
    <row r="133" spans="1:36" ht="12.75">
      <c r="A133" s="6">
        <v>8.09</v>
      </c>
      <c r="B133" s="33"/>
      <c r="C133" s="33" t="s">
        <v>52</v>
      </c>
      <c r="D133" s="74"/>
      <c r="E133" s="75" t="str">
        <f t="shared" si="31"/>
        <v/>
      </c>
      <c r="F133" s="75" t="str">
        <f t="shared" si="32"/>
        <v/>
      </c>
      <c r="G133" s="75" t="str">
        <f t="shared" si="33"/>
        <v/>
      </c>
      <c r="H133" s="75" t="str">
        <f t="shared" si="34"/>
        <v/>
      </c>
      <c r="I133" s="75" t="str">
        <f t="shared" si="35"/>
        <v/>
      </c>
      <c r="J133" s="74" t="str">
        <f t="shared" ca="1" si="36"/>
        <v/>
      </c>
      <c r="K133" s="74" t="str">
        <f ca="1">INDIRECT(""&amp;$C133&amp;"!e133")</f>
        <v/>
      </c>
      <c r="L133" s="74" t="str">
        <f ca="1">INDIRECT(""&amp;$C133&amp;"!f133")</f>
        <v/>
      </c>
      <c r="M133" s="74" t="str">
        <f ca="1">INDIRECT(""&amp;$C133&amp;"!g133")</f>
        <v/>
      </c>
      <c r="N133" s="74" t="str">
        <f ca="1">INDIRECT(""&amp;$C133&amp;"!h133")</f>
        <v/>
      </c>
      <c r="O133" s="74" t="str">
        <f ca="1">INDIRECT(""&amp;$C133&amp;"!i133")</f>
        <v/>
      </c>
      <c r="P133" s="5" t="str">
        <f t="shared" si="29"/>
        <v>input starter in column D</v>
      </c>
      <c r="Q133" s="5" t="str">
        <f t="shared" si="27"/>
        <v/>
      </c>
      <c r="R133" s="10">
        <v>3</v>
      </c>
      <c r="AJ133" s="33" t="str">
        <f t="shared" ca="1" si="30"/>
        <v>GCW</v>
      </c>
    </row>
    <row r="134" spans="1:36" ht="12.75">
      <c r="A134" s="6">
        <v>8.1</v>
      </c>
      <c r="B134" s="33"/>
      <c r="C134" s="33" t="s">
        <v>52</v>
      </c>
      <c r="D134" s="74"/>
      <c r="E134" s="75" t="str">
        <f t="shared" si="31"/>
        <v/>
      </c>
      <c r="F134" s="75" t="str">
        <f t="shared" si="32"/>
        <v/>
      </c>
      <c r="G134" s="75" t="str">
        <f t="shared" si="33"/>
        <v/>
      </c>
      <c r="H134" s="75" t="str">
        <f t="shared" si="34"/>
        <v/>
      </c>
      <c r="I134" s="75" t="str">
        <f t="shared" si="35"/>
        <v/>
      </c>
      <c r="J134" s="74" t="str">
        <f t="shared" ca="1" si="36"/>
        <v/>
      </c>
      <c r="K134" s="74" t="str">
        <f ca="1">INDIRECT(""&amp;$C134&amp;"!e134")</f>
        <v/>
      </c>
      <c r="L134" s="74" t="str">
        <f ca="1">INDIRECT(""&amp;$C134&amp;"!f134")</f>
        <v/>
      </c>
      <c r="M134" s="74" t="str">
        <f ca="1">INDIRECT(""&amp;$C134&amp;"!g134")</f>
        <v/>
      </c>
      <c r="N134" s="74" t="str">
        <f ca="1">INDIRECT(""&amp;$C134&amp;"!h134")</f>
        <v/>
      </c>
      <c r="O134" s="74" t="str">
        <f ca="1">INDIRECT(""&amp;$C134&amp;"!i134")</f>
        <v/>
      </c>
      <c r="P134" s="5" t="str">
        <f t="shared" si="29"/>
        <v>input starter in column D</v>
      </c>
      <c r="Q134" s="5" t="str">
        <f t="shared" si="27"/>
        <v/>
      </c>
      <c r="R134" s="10">
        <v>5</v>
      </c>
      <c r="AJ134" s="33" t="str">
        <f t="shared" ca="1" si="30"/>
        <v>GCW</v>
      </c>
    </row>
    <row r="135" spans="1:36" ht="12.75">
      <c r="A135" s="6">
        <v>8.11</v>
      </c>
      <c r="B135" s="33"/>
      <c r="C135" s="33" t="s">
        <v>52</v>
      </c>
      <c r="D135" s="74"/>
      <c r="E135" s="75" t="str">
        <f t="shared" si="31"/>
        <v/>
      </c>
      <c r="F135" s="75" t="str">
        <f t="shared" si="32"/>
        <v/>
      </c>
      <c r="G135" s="75" t="str">
        <f t="shared" si="33"/>
        <v/>
      </c>
      <c r="H135" s="75" t="str">
        <f t="shared" si="34"/>
        <v/>
      </c>
      <c r="I135" s="75" t="str">
        <f t="shared" si="35"/>
        <v/>
      </c>
      <c r="J135" s="74" t="str">
        <f t="shared" ca="1" si="36"/>
        <v/>
      </c>
      <c r="K135" s="74" t="str">
        <f ca="1">INDIRECT(""&amp;$C135&amp;"!e135")</f>
        <v/>
      </c>
      <c r="L135" s="74" t="str">
        <f ca="1">INDIRECT(""&amp;$C135&amp;"!f135")</f>
        <v/>
      </c>
      <c r="M135" s="74" t="str">
        <f ca="1">INDIRECT(""&amp;$C135&amp;"!g135")</f>
        <v/>
      </c>
      <c r="N135" s="74" t="str">
        <f ca="1">INDIRECT(""&amp;$C135&amp;"!h135")</f>
        <v/>
      </c>
      <c r="O135" s="74" t="str">
        <f ca="1">INDIRECT(""&amp;$C135&amp;"!i135")</f>
        <v/>
      </c>
      <c r="P135" s="5" t="str">
        <f t="shared" si="29"/>
        <v>input starter in column D</v>
      </c>
      <c r="Q135" s="5" t="str">
        <f t="shared" si="27"/>
        <v/>
      </c>
      <c r="R135" s="10">
        <v>4</v>
      </c>
      <c r="AJ135" s="33" t="str">
        <f t="shared" ca="1" si="30"/>
        <v>GCW</v>
      </c>
    </row>
    <row r="136" spans="1:36" ht="12.75">
      <c r="A136" s="6">
        <v>8.1199999999999992</v>
      </c>
      <c r="B136" s="33"/>
      <c r="C136" s="33" t="s">
        <v>52</v>
      </c>
      <c r="D136" s="74"/>
      <c r="E136" s="75" t="str">
        <f t="shared" si="31"/>
        <v/>
      </c>
      <c r="F136" s="75" t="str">
        <f t="shared" si="32"/>
        <v/>
      </c>
      <c r="G136" s="75" t="str">
        <f t="shared" si="33"/>
        <v/>
      </c>
      <c r="H136" s="75" t="str">
        <f t="shared" si="34"/>
        <v/>
      </c>
      <c r="I136" s="75" t="str">
        <f t="shared" si="35"/>
        <v/>
      </c>
      <c r="J136" s="74" t="str">
        <f t="shared" ca="1" si="36"/>
        <v/>
      </c>
      <c r="K136" s="74" t="str">
        <f ca="1">INDIRECT(""&amp;$C136&amp;"!e136")</f>
        <v/>
      </c>
      <c r="L136" s="74" t="str">
        <f ca="1">INDIRECT(""&amp;$C136&amp;"!f136")</f>
        <v/>
      </c>
      <c r="M136" s="74" t="str">
        <f ca="1">INDIRECT(""&amp;$C136&amp;"!g136")</f>
        <v/>
      </c>
      <c r="N136" s="74" t="str">
        <f ca="1">INDIRECT(""&amp;$C136&amp;"!h136")</f>
        <v/>
      </c>
      <c r="O136" s="74" t="str">
        <f ca="1">INDIRECT(""&amp;$C136&amp;"!i136")</f>
        <v/>
      </c>
      <c r="P136" s="5" t="str">
        <f t="shared" si="29"/>
        <v>input starter in column D</v>
      </c>
      <c r="Q136" s="5" t="str">
        <f t="shared" si="27"/>
        <v/>
      </c>
      <c r="R136" s="10">
        <v>1</v>
      </c>
      <c r="AJ136" s="33" t="str">
        <f t="shared" ca="1" si="30"/>
        <v>GCW</v>
      </c>
    </row>
    <row r="137" spans="1:36" ht="12.75">
      <c r="A137" s="6">
        <v>8.1300000000000008</v>
      </c>
      <c r="B137" s="33"/>
      <c r="C137" s="33" t="s">
        <v>48</v>
      </c>
      <c r="D137" s="74"/>
      <c r="E137" s="75" t="str">
        <f t="shared" si="31"/>
        <v/>
      </c>
      <c r="F137" s="75" t="str">
        <f t="shared" si="32"/>
        <v/>
      </c>
      <c r="G137" s="75" t="str">
        <f t="shared" si="33"/>
        <v/>
      </c>
      <c r="H137" s="75" t="str">
        <f t="shared" si="34"/>
        <v/>
      </c>
      <c r="I137" s="75" t="str">
        <f t="shared" si="35"/>
        <v/>
      </c>
      <c r="J137" s="74" t="str">
        <f t="shared" ca="1" si="36"/>
        <v/>
      </c>
      <c r="K137" s="74" t="str">
        <f ca="1">INDIRECT(""&amp;$C137&amp;"!e137")</f>
        <v/>
      </c>
      <c r="L137" s="74" t="str">
        <f ca="1">INDIRECT(""&amp;$C137&amp;"!f137")</f>
        <v/>
      </c>
      <c r="M137" s="74" t="str">
        <f ca="1">INDIRECT(""&amp;$C137&amp;"!g137")</f>
        <v/>
      </c>
      <c r="N137" s="74" t="str">
        <f ca="1">INDIRECT(""&amp;$C137&amp;"!h137")</f>
        <v/>
      </c>
      <c r="O137" s="74" t="str">
        <f ca="1">INDIRECT(""&amp;$C137&amp;"!i137")</f>
        <v/>
      </c>
      <c r="P137" s="5" t="str">
        <f t="shared" si="29"/>
        <v>input starter in column D</v>
      </c>
      <c r="Q137" s="5" t="str">
        <f t="shared" si="27"/>
        <v/>
      </c>
      <c r="R137" s="10">
        <v>2</v>
      </c>
      <c r="AJ137" s="33" t="str">
        <f t="shared" ca="1" si="30"/>
        <v>GCW</v>
      </c>
    </row>
    <row r="138" spans="1:36" ht="12.75">
      <c r="A138" s="6">
        <v>8.14</v>
      </c>
      <c r="B138" s="33"/>
      <c r="C138" s="33"/>
      <c r="D138" s="74"/>
      <c r="E138" s="75"/>
      <c r="F138" s="75"/>
      <c r="G138" s="75"/>
      <c r="H138" s="75"/>
      <c r="I138" s="75"/>
      <c r="J138" s="74"/>
      <c r="K138" s="74"/>
      <c r="L138" s="74"/>
      <c r="M138" s="74"/>
      <c r="N138" s="74"/>
      <c r="O138" s="74"/>
      <c r="P138" s="1"/>
      <c r="Q138" s="1"/>
      <c r="R138" s="10"/>
      <c r="AJ138" s="33" t="str">
        <f t="shared" ca="1" si="30"/>
        <v/>
      </c>
    </row>
    <row r="139" spans="1:36" ht="12.75">
      <c r="A139" s="6">
        <v>8.15</v>
      </c>
      <c r="B139" s="33"/>
      <c r="C139" s="33" t="s">
        <v>48</v>
      </c>
      <c r="D139" s="74"/>
      <c r="E139" s="75" t="str">
        <f t="shared" si="31"/>
        <v/>
      </c>
      <c r="F139" s="75" t="str">
        <f t="shared" si="32"/>
        <v/>
      </c>
      <c r="G139" s="75" t="str">
        <f t="shared" si="33"/>
        <v/>
      </c>
      <c r="H139" s="75" t="str">
        <f t="shared" si="34"/>
        <v/>
      </c>
      <c r="I139" s="75" t="str">
        <f t="shared" si="35"/>
        <v/>
      </c>
      <c r="J139" s="74" t="str">
        <f t="shared" ca="1" si="36"/>
        <v/>
      </c>
      <c r="K139" s="74" t="str">
        <f ca="1">INDIRECT(""&amp;$C139&amp;"!e139")</f>
        <v/>
      </c>
      <c r="L139" s="74" t="str">
        <f ca="1">INDIRECT(""&amp;$C139&amp;"!f139")</f>
        <v/>
      </c>
      <c r="M139" s="74" t="str">
        <f ca="1">INDIRECT(""&amp;$C139&amp;"!g139")</f>
        <v/>
      </c>
      <c r="N139" s="74" t="str">
        <f ca="1">INDIRECT(""&amp;$C139&amp;"!h139")</f>
        <v/>
      </c>
      <c r="O139" s="74" t="str">
        <f ca="1">INDIRECT(""&amp;$C139&amp;"!i139")</f>
        <v/>
      </c>
      <c r="P139" s="5" t="str">
        <f t="shared" ref="P139:P155" si="37">IF(D139="","input starter in column D",IF(D139=D138,"not enough rest",IF(D139=D137,"not enough rest",(IF(D139=D136,"not enough rest",IF(D139=D135,"not enough rest","ok"))))))</f>
        <v>input starter in column D</v>
      </c>
      <c r="Q139" s="5" t="str">
        <f t="shared" si="27"/>
        <v/>
      </c>
      <c r="R139" s="10">
        <v>3</v>
      </c>
      <c r="AJ139" s="33" t="str">
        <f t="shared" ca="1" si="30"/>
        <v>GCW</v>
      </c>
    </row>
    <row r="140" spans="1:36" ht="12.75">
      <c r="A140" s="6">
        <v>8.16</v>
      </c>
      <c r="B140" s="33"/>
      <c r="C140" s="33" t="s">
        <v>48</v>
      </c>
      <c r="D140" s="74"/>
      <c r="E140" s="75" t="str">
        <f t="shared" si="31"/>
        <v/>
      </c>
      <c r="F140" s="75" t="str">
        <f t="shared" si="32"/>
        <v/>
      </c>
      <c r="G140" s="75" t="str">
        <f t="shared" si="33"/>
        <v/>
      </c>
      <c r="H140" s="75" t="str">
        <f t="shared" si="34"/>
        <v/>
      </c>
      <c r="I140" s="75" t="str">
        <f t="shared" si="35"/>
        <v/>
      </c>
      <c r="J140" s="74" t="str">
        <f t="shared" ca="1" si="36"/>
        <v/>
      </c>
      <c r="K140" s="74" t="str">
        <f ca="1">INDIRECT(""&amp;$C140&amp;"!e140")</f>
        <v/>
      </c>
      <c r="L140" s="74" t="str">
        <f ca="1">INDIRECT(""&amp;$C140&amp;"!f140")</f>
        <v/>
      </c>
      <c r="M140" s="74" t="str">
        <f ca="1">INDIRECT(""&amp;$C140&amp;"!g140")</f>
        <v/>
      </c>
      <c r="N140" s="74" t="str">
        <f ca="1">INDIRECT(""&amp;$C140&amp;"!h140")</f>
        <v/>
      </c>
      <c r="O140" s="74" t="str">
        <f ca="1">INDIRECT(""&amp;$C140&amp;"!i140")</f>
        <v/>
      </c>
      <c r="P140" s="5" t="str">
        <f t="shared" si="37"/>
        <v>input starter in column D</v>
      </c>
      <c r="Q140" s="5" t="str">
        <f t="shared" si="27"/>
        <v/>
      </c>
      <c r="R140" s="10">
        <v>4</v>
      </c>
      <c r="AJ140" s="33" t="str">
        <f t="shared" ca="1" si="30"/>
        <v>GCW</v>
      </c>
    </row>
    <row r="141" spans="1:36" ht="12.75">
      <c r="A141" s="6">
        <v>8.17</v>
      </c>
      <c r="B141" s="33"/>
      <c r="C141" s="33" t="s">
        <v>48</v>
      </c>
      <c r="D141" s="74"/>
      <c r="E141" s="75" t="str">
        <f t="shared" si="31"/>
        <v/>
      </c>
      <c r="F141" s="75" t="str">
        <f t="shared" si="32"/>
        <v/>
      </c>
      <c r="G141" s="75" t="str">
        <f t="shared" si="33"/>
        <v/>
      </c>
      <c r="H141" s="75" t="str">
        <f t="shared" si="34"/>
        <v/>
      </c>
      <c r="I141" s="75" t="str">
        <f t="shared" si="35"/>
        <v/>
      </c>
      <c r="J141" s="74" t="str">
        <f t="shared" ca="1" si="36"/>
        <v/>
      </c>
      <c r="K141" s="74" t="str">
        <f ca="1">INDIRECT(""&amp;$C141&amp;"!e141")</f>
        <v/>
      </c>
      <c r="L141" s="74" t="str">
        <f ca="1">INDIRECT(""&amp;$C141&amp;"!f141")</f>
        <v/>
      </c>
      <c r="M141" s="74" t="str">
        <f ca="1">INDIRECT(""&amp;$C141&amp;"!g141")</f>
        <v/>
      </c>
      <c r="N141" s="74" t="str">
        <f ca="1">INDIRECT(""&amp;$C141&amp;"!h141")</f>
        <v/>
      </c>
      <c r="O141" s="74" t="str">
        <f ca="1">INDIRECT(""&amp;$C141&amp;"!i141")</f>
        <v/>
      </c>
      <c r="P141" s="5" t="str">
        <f t="shared" si="37"/>
        <v>input starter in column D</v>
      </c>
      <c r="Q141" s="5" t="str">
        <f t="shared" si="27"/>
        <v/>
      </c>
      <c r="R141" s="10">
        <v>1</v>
      </c>
      <c r="AJ141" s="33" t="str">
        <f t="shared" ca="1" si="30"/>
        <v>GCW</v>
      </c>
    </row>
    <row r="142" spans="1:36" ht="12.75">
      <c r="A142" s="6">
        <v>8.18</v>
      </c>
      <c r="B142" s="32"/>
      <c r="C142" s="33" t="s">
        <v>53</v>
      </c>
      <c r="D142" s="74"/>
      <c r="E142" s="75" t="str">
        <f t="shared" si="31"/>
        <v/>
      </c>
      <c r="F142" s="75" t="str">
        <f t="shared" si="32"/>
        <v/>
      </c>
      <c r="G142" s="75" t="str">
        <f t="shared" si="33"/>
        <v/>
      </c>
      <c r="H142" s="75" t="str">
        <f t="shared" si="34"/>
        <v/>
      </c>
      <c r="I142" s="75" t="str">
        <f t="shared" si="35"/>
        <v/>
      </c>
      <c r="J142" s="74" t="str">
        <f t="shared" ca="1" si="36"/>
        <v/>
      </c>
      <c r="K142" s="74" t="str">
        <f ca="1">INDIRECT(""&amp;$C142&amp;"!e142")</f>
        <v/>
      </c>
      <c r="L142" s="74" t="str">
        <f ca="1">INDIRECT(""&amp;$C142&amp;"!f142")</f>
        <v/>
      </c>
      <c r="M142" s="74" t="str">
        <f ca="1">INDIRECT(""&amp;$C142&amp;"!g142")</f>
        <v/>
      </c>
      <c r="N142" s="74" t="str">
        <f ca="1">INDIRECT(""&amp;$C142&amp;"!h142")</f>
        <v/>
      </c>
      <c r="O142" s="74" t="str">
        <f ca="1">INDIRECT(""&amp;$C142&amp;"!i142")</f>
        <v/>
      </c>
      <c r="P142" s="5" t="str">
        <f t="shared" si="37"/>
        <v>input starter in column D</v>
      </c>
      <c r="Q142" s="5" t="str">
        <f t="shared" si="27"/>
        <v/>
      </c>
      <c r="R142" s="10">
        <v>2</v>
      </c>
      <c r="AJ142" s="33" t="str">
        <f t="shared" ca="1" si="30"/>
        <v>GCW</v>
      </c>
    </row>
    <row r="143" spans="1:36" ht="12.75">
      <c r="A143" s="6">
        <v>8.19</v>
      </c>
      <c r="B143" s="32"/>
      <c r="C143" s="33" t="s">
        <v>53</v>
      </c>
      <c r="D143" s="74"/>
      <c r="E143" s="75" t="str">
        <f t="shared" si="31"/>
        <v/>
      </c>
      <c r="F143" s="75" t="str">
        <f t="shared" si="32"/>
        <v/>
      </c>
      <c r="G143" s="75" t="str">
        <f t="shared" si="33"/>
        <v/>
      </c>
      <c r="H143" s="75" t="str">
        <f t="shared" si="34"/>
        <v/>
      </c>
      <c r="I143" s="75" t="str">
        <f t="shared" si="35"/>
        <v/>
      </c>
      <c r="J143" s="74" t="str">
        <f t="shared" ca="1" si="36"/>
        <v/>
      </c>
      <c r="K143" s="74" t="str">
        <f ca="1">INDIRECT(""&amp;$C143&amp;"!e143")</f>
        <v/>
      </c>
      <c r="L143" s="74" t="str">
        <f ca="1">INDIRECT(""&amp;$C143&amp;"!f143")</f>
        <v/>
      </c>
      <c r="M143" s="74" t="str">
        <f ca="1">INDIRECT(""&amp;$C143&amp;"!g143")</f>
        <v/>
      </c>
      <c r="N143" s="74" t="str">
        <f ca="1">INDIRECT(""&amp;$C143&amp;"!h143")</f>
        <v/>
      </c>
      <c r="O143" s="74" t="str">
        <f ca="1">INDIRECT(""&amp;$C143&amp;"!i143")</f>
        <v/>
      </c>
      <c r="P143" s="5" t="str">
        <f t="shared" si="37"/>
        <v>input starter in column D</v>
      </c>
      <c r="Q143" s="5" t="str">
        <f t="shared" si="27"/>
        <v/>
      </c>
      <c r="R143" s="10">
        <v>5</v>
      </c>
      <c r="AJ143" s="33" t="str">
        <f t="shared" ca="1" si="30"/>
        <v>GCW</v>
      </c>
    </row>
    <row r="144" spans="1:36" ht="12.75">
      <c r="A144" s="6">
        <v>8.1999999999999993</v>
      </c>
      <c r="B144" s="32"/>
      <c r="C144" s="33" t="s">
        <v>53</v>
      </c>
      <c r="D144" s="74"/>
      <c r="E144" s="75" t="str">
        <f t="shared" si="31"/>
        <v/>
      </c>
      <c r="F144" s="75" t="str">
        <f t="shared" si="32"/>
        <v/>
      </c>
      <c r="G144" s="75" t="str">
        <f t="shared" si="33"/>
        <v/>
      </c>
      <c r="H144" s="75" t="str">
        <f t="shared" si="34"/>
        <v/>
      </c>
      <c r="I144" s="75" t="str">
        <f t="shared" si="35"/>
        <v/>
      </c>
      <c r="J144" s="74" t="str">
        <f t="shared" ca="1" si="36"/>
        <v/>
      </c>
      <c r="K144" s="74" t="str">
        <f ca="1">INDIRECT(""&amp;$C144&amp;"!e144")</f>
        <v/>
      </c>
      <c r="L144" s="74" t="str">
        <f ca="1">INDIRECT(""&amp;$C144&amp;"!f144")</f>
        <v/>
      </c>
      <c r="M144" s="74" t="str">
        <f ca="1">INDIRECT(""&amp;$C144&amp;"!g144")</f>
        <v/>
      </c>
      <c r="N144" s="74" t="str">
        <f ca="1">INDIRECT(""&amp;$C144&amp;"!h144")</f>
        <v/>
      </c>
      <c r="O144" s="74" t="str">
        <f ca="1">INDIRECT(""&amp;$C144&amp;"!i144")</f>
        <v/>
      </c>
      <c r="P144" s="5" t="str">
        <f t="shared" si="37"/>
        <v>input starter in column D</v>
      </c>
      <c r="Q144" s="5" t="str">
        <f t="shared" si="27"/>
        <v/>
      </c>
      <c r="R144" s="10">
        <v>3</v>
      </c>
      <c r="AJ144" s="33" t="str">
        <f t="shared" ca="1" si="30"/>
        <v>GCW</v>
      </c>
    </row>
    <row r="145" spans="1:36" ht="12.75">
      <c r="A145" s="6">
        <v>8.2100000000000009</v>
      </c>
      <c r="B145" s="33" t="s">
        <v>32</v>
      </c>
      <c r="C145" s="33" t="s">
        <v>51</v>
      </c>
      <c r="D145" s="74"/>
      <c r="E145" s="75" t="str">
        <f t="shared" si="31"/>
        <v/>
      </c>
      <c r="F145" s="75" t="str">
        <f t="shared" si="32"/>
        <v/>
      </c>
      <c r="G145" s="75" t="str">
        <f t="shared" si="33"/>
        <v/>
      </c>
      <c r="H145" s="75" t="str">
        <f t="shared" si="34"/>
        <v/>
      </c>
      <c r="I145" s="75" t="str">
        <f t="shared" si="35"/>
        <v/>
      </c>
      <c r="J145" s="74" t="str">
        <f t="shared" ca="1" si="36"/>
        <v/>
      </c>
      <c r="K145" s="74" t="str">
        <f ca="1">INDIRECT(""&amp;$C145&amp;"!e145")</f>
        <v/>
      </c>
      <c r="L145" s="74" t="str">
        <f ca="1">INDIRECT(""&amp;$C145&amp;"!f145")</f>
        <v/>
      </c>
      <c r="M145" s="74" t="str">
        <f ca="1">INDIRECT(""&amp;$C145&amp;"!g145")</f>
        <v/>
      </c>
      <c r="N145" s="74" t="str">
        <f ca="1">INDIRECT(""&amp;$C145&amp;"!h145")</f>
        <v/>
      </c>
      <c r="O145" s="74" t="str">
        <f ca="1">INDIRECT(""&amp;$C145&amp;"!i145")</f>
        <v/>
      </c>
      <c r="P145" s="5" t="str">
        <f t="shared" si="37"/>
        <v>input starter in column D</v>
      </c>
      <c r="Q145" s="5" t="str">
        <f t="shared" si="27"/>
        <v/>
      </c>
      <c r="R145" s="10">
        <v>4</v>
      </c>
      <c r="AJ145" s="33" t="str">
        <f t="shared" ca="1" si="30"/>
        <v>GCW</v>
      </c>
    </row>
    <row r="146" spans="1:36" ht="12.75">
      <c r="A146" s="6">
        <v>8.2200000000000006</v>
      </c>
      <c r="B146" s="33" t="s">
        <v>32</v>
      </c>
      <c r="C146" s="33" t="s">
        <v>51</v>
      </c>
      <c r="D146" s="74"/>
      <c r="E146" s="75" t="str">
        <f t="shared" si="31"/>
        <v/>
      </c>
      <c r="F146" s="75" t="str">
        <f t="shared" si="32"/>
        <v/>
      </c>
      <c r="G146" s="75" t="str">
        <f t="shared" si="33"/>
        <v/>
      </c>
      <c r="H146" s="75" t="str">
        <f t="shared" si="34"/>
        <v/>
      </c>
      <c r="I146" s="75" t="str">
        <f t="shared" si="35"/>
        <v/>
      </c>
      <c r="J146" s="74" t="str">
        <f t="shared" ca="1" si="36"/>
        <v/>
      </c>
      <c r="K146" s="74" t="str">
        <f ca="1">INDIRECT(""&amp;$C146&amp;"!e146")</f>
        <v/>
      </c>
      <c r="L146" s="74" t="str">
        <f ca="1">INDIRECT(""&amp;$C146&amp;"!f146")</f>
        <v/>
      </c>
      <c r="M146" s="74" t="str">
        <f ca="1">INDIRECT(""&amp;$C146&amp;"!g146")</f>
        <v/>
      </c>
      <c r="N146" s="74" t="str">
        <f ca="1">INDIRECT(""&amp;$C146&amp;"!h146")</f>
        <v/>
      </c>
      <c r="O146" s="74" t="str">
        <f ca="1">INDIRECT(""&amp;$C146&amp;"!i146")</f>
        <v/>
      </c>
      <c r="P146" s="5" t="str">
        <f t="shared" si="37"/>
        <v>input starter in column D</v>
      </c>
      <c r="Q146" s="5" t="str">
        <f t="shared" si="27"/>
        <v/>
      </c>
      <c r="R146" s="10">
        <v>1</v>
      </c>
      <c r="AJ146" s="33" t="str">
        <f t="shared" ca="1" si="30"/>
        <v>GCW</v>
      </c>
    </row>
    <row r="147" spans="1:36" ht="12.75">
      <c r="A147" s="6">
        <v>8.23</v>
      </c>
      <c r="B147" s="33" t="s">
        <v>32</v>
      </c>
      <c r="C147" s="33" t="s">
        <v>51</v>
      </c>
      <c r="D147" s="74"/>
      <c r="E147" s="75" t="str">
        <f t="shared" si="31"/>
        <v/>
      </c>
      <c r="F147" s="75" t="str">
        <f t="shared" si="32"/>
        <v/>
      </c>
      <c r="G147" s="75" t="str">
        <f t="shared" si="33"/>
        <v/>
      </c>
      <c r="H147" s="75" t="str">
        <f t="shared" si="34"/>
        <v/>
      </c>
      <c r="I147" s="75" t="str">
        <f t="shared" si="35"/>
        <v/>
      </c>
      <c r="J147" s="74" t="str">
        <f t="shared" ca="1" si="36"/>
        <v/>
      </c>
      <c r="K147" s="74" t="str">
        <f ca="1">INDIRECT(""&amp;$C147&amp;"!e147")</f>
        <v/>
      </c>
      <c r="L147" s="74" t="str">
        <f ca="1">INDIRECT(""&amp;$C147&amp;"!f147")</f>
        <v/>
      </c>
      <c r="M147" s="74" t="str">
        <f ca="1">INDIRECT(""&amp;$C147&amp;"!g147")</f>
        <v/>
      </c>
      <c r="N147" s="74" t="str">
        <f ca="1">INDIRECT(""&amp;$C147&amp;"!h147")</f>
        <v/>
      </c>
      <c r="O147" s="74" t="str">
        <f ca="1">INDIRECT(""&amp;$C147&amp;"!i147")</f>
        <v/>
      </c>
      <c r="P147" s="5" t="str">
        <f t="shared" si="37"/>
        <v>input starter in column D</v>
      </c>
      <c r="Q147" s="5" t="str">
        <f t="shared" si="27"/>
        <v/>
      </c>
      <c r="R147" s="14">
        <v>2</v>
      </c>
      <c r="AJ147" s="33" t="str">
        <f t="shared" ca="1" si="30"/>
        <v>GCW</v>
      </c>
    </row>
    <row r="148" spans="1:36" ht="12.75">
      <c r="A148" s="6">
        <v>8.24</v>
      </c>
      <c r="B148" s="33" t="s">
        <v>32</v>
      </c>
      <c r="C148" s="33" t="s">
        <v>51</v>
      </c>
      <c r="D148" s="74"/>
      <c r="E148" s="75" t="str">
        <f t="shared" si="31"/>
        <v/>
      </c>
      <c r="F148" s="75" t="str">
        <f t="shared" si="32"/>
        <v/>
      </c>
      <c r="G148" s="75" t="str">
        <f t="shared" si="33"/>
        <v/>
      </c>
      <c r="H148" s="75" t="str">
        <f t="shared" si="34"/>
        <v/>
      </c>
      <c r="I148" s="75" t="str">
        <f t="shared" si="35"/>
        <v/>
      </c>
      <c r="J148" s="74" t="str">
        <f t="shared" ca="1" si="36"/>
        <v/>
      </c>
      <c r="K148" s="74" t="str">
        <f ca="1">INDIRECT(""&amp;$C148&amp;"!e148")</f>
        <v/>
      </c>
      <c r="L148" s="74" t="str">
        <f ca="1">INDIRECT(""&amp;$C148&amp;"!f148")</f>
        <v/>
      </c>
      <c r="M148" s="74" t="str">
        <f ca="1">INDIRECT(""&amp;$C148&amp;"!g148")</f>
        <v/>
      </c>
      <c r="N148" s="74" t="str">
        <f ca="1">INDIRECT(""&amp;$C148&amp;"!h148")</f>
        <v/>
      </c>
      <c r="O148" s="74" t="str">
        <f ca="1">INDIRECT(""&amp;$C148&amp;"!i148")</f>
        <v/>
      </c>
      <c r="P148" s="5" t="str">
        <f t="shared" si="37"/>
        <v>input starter in column D</v>
      </c>
      <c r="Q148" s="5" t="str">
        <f t="shared" si="27"/>
        <v/>
      </c>
      <c r="R148" s="14">
        <v>5</v>
      </c>
      <c r="AJ148" s="33" t="str">
        <f t="shared" ca="1" si="30"/>
        <v>GCW</v>
      </c>
    </row>
    <row r="149" spans="1:36" ht="12.75">
      <c r="A149" s="6">
        <v>8.25</v>
      </c>
      <c r="B149" s="33"/>
      <c r="C149" s="33" t="s">
        <v>42</v>
      </c>
      <c r="D149" s="74"/>
      <c r="E149" s="75" t="str">
        <f t="shared" si="31"/>
        <v/>
      </c>
      <c r="F149" s="75" t="str">
        <f t="shared" si="32"/>
        <v/>
      </c>
      <c r="G149" s="75" t="str">
        <f t="shared" si="33"/>
        <v/>
      </c>
      <c r="H149" s="75" t="str">
        <f t="shared" si="34"/>
        <v/>
      </c>
      <c r="I149" s="75" t="str">
        <f t="shared" si="35"/>
        <v/>
      </c>
      <c r="J149" s="74" t="str">
        <f t="shared" ca="1" si="36"/>
        <v/>
      </c>
      <c r="K149" s="74" t="str">
        <f ca="1">INDIRECT(""&amp;$C149&amp;"!e149")</f>
        <v/>
      </c>
      <c r="L149" s="74" t="str">
        <f ca="1">INDIRECT(""&amp;$C149&amp;"!f149")</f>
        <v/>
      </c>
      <c r="M149" s="74" t="str">
        <f ca="1">INDIRECT(""&amp;$C149&amp;"!g149")</f>
        <v/>
      </c>
      <c r="N149" s="74" t="str">
        <f ca="1">INDIRECT(""&amp;$C149&amp;"!h149")</f>
        <v/>
      </c>
      <c r="O149" s="74" t="str">
        <f ca="1">INDIRECT(""&amp;$C149&amp;"!i149")</f>
        <v/>
      </c>
      <c r="P149" s="5" t="str">
        <f t="shared" si="37"/>
        <v>input starter in column D</v>
      </c>
      <c r="Q149" s="5" t="str">
        <f t="shared" si="27"/>
        <v/>
      </c>
      <c r="R149" s="14">
        <v>3</v>
      </c>
      <c r="AJ149" s="33" t="str">
        <f t="shared" ca="1" si="30"/>
        <v>GCW</v>
      </c>
    </row>
    <row r="150" spans="1:36" ht="12.75">
      <c r="A150" s="6">
        <v>8.26</v>
      </c>
      <c r="B150" s="33"/>
      <c r="C150" s="33" t="s">
        <v>42</v>
      </c>
      <c r="D150" s="74"/>
      <c r="E150" s="75" t="str">
        <f t="shared" si="31"/>
        <v/>
      </c>
      <c r="F150" s="75" t="str">
        <f t="shared" si="32"/>
        <v/>
      </c>
      <c r="G150" s="75" t="str">
        <f t="shared" si="33"/>
        <v/>
      </c>
      <c r="H150" s="75" t="str">
        <f t="shared" si="34"/>
        <v/>
      </c>
      <c r="I150" s="75" t="str">
        <f t="shared" si="35"/>
        <v/>
      </c>
      <c r="J150" s="74" t="str">
        <f t="shared" ca="1" si="36"/>
        <v/>
      </c>
      <c r="K150" s="74" t="str">
        <f ca="1">INDIRECT(""&amp;$C150&amp;"!e150")</f>
        <v/>
      </c>
      <c r="L150" s="74" t="str">
        <f ca="1">INDIRECT(""&amp;$C150&amp;"!f150")</f>
        <v/>
      </c>
      <c r="M150" s="74" t="str">
        <f ca="1">INDIRECT(""&amp;$C150&amp;"!g150")</f>
        <v/>
      </c>
      <c r="N150" s="74" t="str">
        <f ca="1">INDIRECT(""&amp;$C150&amp;"!h150")</f>
        <v/>
      </c>
      <c r="O150" s="74" t="str">
        <f ca="1">INDIRECT(""&amp;$C150&amp;"!i150")</f>
        <v/>
      </c>
      <c r="P150" s="5" t="str">
        <f t="shared" si="37"/>
        <v>input starter in column D</v>
      </c>
      <c r="Q150" s="5" t="str">
        <f t="shared" si="27"/>
        <v/>
      </c>
      <c r="R150" s="14">
        <v>4</v>
      </c>
      <c r="AJ150" s="33" t="str">
        <f t="shared" ca="1" si="30"/>
        <v>GCW</v>
      </c>
    </row>
    <row r="151" spans="1:36" ht="12.75">
      <c r="A151" s="6">
        <v>8.27</v>
      </c>
      <c r="B151" s="33"/>
      <c r="C151" s="33" t="s">
        <v>42</v>
      </c>
      <c r="D151" s="74"/>
      <c r="E151" s="75" t="str">
        <f t="shared" si="31"/>
        <v/>
      </c>
      <c r="F151" s="75" t="str">
        <f t="shared" si="32"/>
        <v/>
      </c>
      <c r="G151" s="75" t="str">
        <f t="shared" si="33"/>
        <v/>
      </c>
      <c r="H151" s="75" t="str">
        <f t="shared" si="34"/>
        <v/>
      </c>
      <c r="I151" s="75" t="str">
        <f t="shared" si="35"/>
        <v/>
      </c>
      <c r="J151" s="74" t="str">
        <f t="shared" ca="1" si="36"/>
        <v/>
      </c>
      <c r="K151" s="74" t="str">
        <f ca="1">INDIRECT(""&amp;$C151&amp;"!e151")</f>
        <v/>
      </c>
      <c r="L151" s="74" t="str">
        <f ca="1">INDIRECT(""&amp;$C151&amp;"!f151")</f>
        <v/>
      </c>
      <c r="M151" s="74" t="str">
        <f ca="1">INDIRECT(""&amp;$C151&amp;"!g151")</f>
        <v/>
      </c>
      <c r="N151" s="74" t="str">
        <f ca="1">INDIRECT(""&amp;$C151&amp;"!h151")</f>
        <v/>
      </c>
      <c r="O151" s="74" t="str">
        <f ca="1">INDIRECT(""&amp;$C151&amp;"!i151")</f>
        <v/>
      </c>
      <c r="P151" s="5" t="str">
        <f t="shared" si="37"/>
        <v>input starter in column D</v>
      </c>
      <c r="Q151" s="5" t="str">
        <f t="shared" si="27"/>
        <v/>
      </c>
      <c r="R151" s="14">
        <v>1</v>
      </c>
      <c r="AJ151" s="33" t="str">
        <f t="shared" ca="1" si="30"/>
        <v>GCW</v>
      </c>
    </row>
    <row r="152" spans="1:36" ht="12.75">
      <c r="A152" s="6">
        <v>8.2799999999999994</v>
      </c>
      <c r="B152" s="33"/>
      <c r="C152" s="33" t="s">
        <v>42</v>
      </c>
      <c r="D152" s="74"/>
      <c r="E152" s="75" t="str">
        <f t="shared" si="31"/>
        <v/>
      </c>
      <c r="F152" s="75" t="str">
        <f t="shared" si="32"/>
        <v/>
      </c>
      <c r="G152" s="75" t="str">
        <f t="shared" si="33"/>
        <v/>
      </c>
      <c r="H152" s="75" t="str">
        <f t="shared" si="34"/>
        <v/>
      </c>
      <c r="I152" s="75" t="str">
        <f t="shared" si="35"/>
        <v/>
      </c>
      <c r="J152" s="74" t="str">
        <f t="shared" ca="1" si="36"/>
        <v/>
      </c>
      <c r="K152" s="74" t="str">
        <f ca="1">INDIRECT(""&amp;$C152&amp;"!e152")</f>
        <v/>
      </c>
      <c r="L152" s="74" t="str">
        <f ca="1">INDIRECT(""&amp;$C152&amp;"!f152")</f>
        <v/>
      </c>
      <c r="M152" s="74" t="str">
        <f ca="1">INDIRECT(""&amp;$C152&amp;"!g152")</f>
        <v/>
      </c>
      <c r="N152" s="74" t="str">
        <f ca="1">INDIRECT(""&amp;$C152&amp;"!h152")</f>
        <v/>
      </c>
      <c r="O152" s="74" t="str">
        <f ca="1">INDIRECT(""&amp;$C152&amp;"!i152")</f>
        <v/>
      </c>
      <c r="P152" s="5" t="str">
        <f t="shared" si="37"/>
        <v>input starter in column D</v>
      </c>
      <c r="Q152" s="5" t="str">
        <f t="shared" si="27"/>
        <v/>
      </c>
      <c r="R152" s="14">
        <v>2</v>
      </c>
      <c r="AJ152" s="33" t="str">
        <f t="shared" ca="1" si="30"/>
        <v>GCW</v>
      </c>
    </row>
    <row r="153" spans="1:36" ht="12.75">
      <c r="A153" s="6">
        <v>8.2899999999999991</v>
      </c>
      <c r="B153" s="33" t="s">
        <v>32</v>
      </c>
      <c r="C153" s="33" t="s">
        <v>43</v>
      </c>
      <c r="D153" s="74"/>
      <c r="E153" s="75" t="str">
        <f t="shared" si="31"/>
        <v/>
      </c>
      <c r="F153" s="75" t="str">
        <f t="shared" si="32"/>
        <v/>
      </c>
      <c r="G153" s="75" t="str">
        <f t="shared" si="33"/>
        <v/>
      </c>
      <c r="H153" s="75" t="str">
        <f t="shared" si="34"/>
        <v/>
      </c>
      <c r="I153" s="75" t="str">
        <f t="shared" si="35"/>
        <v/>
      </c>
      <c r="J153" s="74" t="str">
        <f t="shared" ca="1" si="36"/>
        <v/>
      </c>
      <c r="K153" s="74" t="str">
        <f ca="1">INDIRECT(""&amp;$C153&amp;"!e153")</f>
        <v/>
      </c>
      <c r="L153" s="74" t="str">
        <f ca="1">INDIRECT(""&amp;$C153&amp;"!f153")</f>
        <v/>
      </c>
      <c r="M153" s="74" t="str">
        <f ca="1">INDIRECT(""&amp;$C153&amp;"!g153")</f>
        <v/>
      </c>
      <c r="N153" s="74" t="str">
        <f ca="1">INDIRECT(""&amp;$C153&amp;"!h153")</f>
        <v/>
      </c>
      <c r="O153" s="74" t="str">
        <f ca="1">INDIRECT(""&amp;$C153&amp;"!i153")</f>
        <v/>
      </c>
      <c r="P153" s="5" t="str">
        <f t="shared" si="37"/>
        <v>input starter in column D</v>
      </c>
      <c r="Q153" s="5" t="str">
        <f t="shared" si="27"/>
        <v/>
      </c>
      <c r="R153" s="14">
        <v>5</v>
      </c>
      <c r="AJ153" s="33" t="str">
        <f t="shared" ca="1" si="30"/>
        <v>GCW</v>
      </c>
    </row>
    <row r="154" spans="1:36" ht="12.75">
      <c r="A154" s="6">
        <v>8.3000000000000007</v>
      </c>
      <c r="B154" s="33" t="s">
        <v>32</v>
      </c>
      <c r="C154" s="33" t="s">
        <v>43</v>
      </c>
      <c r="D154" s="74"/>
      <c r="E154" s="75" t="str">
        <f t="shared" si="31"/>
        <v/>
      </c>
      <c r="F154" s="75" t="str">
        <f t="shared" si="32"/>
        <v/>
      </c>
      <c r="G154" s="75" t="str">
        <f t="shared" si="33"/>
        <v/>
      </c>
      <c r="H154" s="75" t="str">
        <f t="shared" si="34"/>
        <v/>
      </c>
      <c r="I154" s="75" t="str">
        <f t="shared" si="35"/>
        <v/>
      </c>
      <c r="J154" s="74" t="str">
        <f t="shared" ca="1" si="36"/>
        <v/>
      </c>
      <c r="K154" s="74" t="str">
        <f ca="1">INDIRECT(""&amp;$C154&amp;"!e154")</f>
        <v/>
      </c>
      <c r="L154" s="74" t="str">
        <f ca="1">INDIRECT(""&amp;$C154&amp;"!f154")</f>
        <v/>
      </c>
      <c r="M154" s="74" t="str">
        <f ca="1">INDIRECT(""&amp;$C154&amp;"!g154")</f>
        <v/>
      </c>
      <c r="N154" s="74" t="str">
        <f ca="1">INDIRECT(""&amp;$C154&amp;"!h154")</f>
        <v/>
      </c>
      <c r="O154" s="74" t="str">
        <f ca="1">INDIRECT(""&amp;$C154&amp;"!i154")</f>
        <v/>
      </c>
      <c r="P154" s="5" t="str">
        <f t="shared" si="37"/>
        <v>input starter in column D</v>
      </c>
      <c r="Q154" s="5" t="str">
        <f t="shared" si="27"/>
        <v/>
      </c>
      <c r="R154" s="14">
        <v>3</v>
      </c>
      <c r="AJ154" s="33" t="str">
        <f t="shared" ca="1" si="30"/>
        <v>GCW</v>
      </c>
    </row>
    <row r="155" spans="1:36" ht="12.75">
      <c r="A155" s="6">
        <v>8.31</v>
      </c>
      <c r="B155" s="33" t="s">
        <v>32</v>
      </c>
      <c r="C155" s="33" t="s">
        <v>43</v>
      </c>
      <c r="D155" s="74"/>
      <c r="E155" s="75" t="str">
        <f t="shared" si="31"/>
        <v/>
      </c>
      <c r="F155" s="75" t="str">
        <f t="shared" si="32"/>
        <v/>
      </c>
      <c r="G155" s="75" t="str">
        <f t="shared" si="33"/>
        <v/>
      </c>
      <c r="H155" s="75" t="str">
        <f t="shared" si="34"/>
        <v/>
      </c>
      <c r="I155" s="75" t="str">
        <f t="shared" si="35"/>
        <v/>
      </c>
      <c r="J155" s="74" t="str">
        <f t="shared" ca="1" si="36"/>
        <v/>
      </c>
      <c r="K155" s="74" t="str">
        <f ca="1">INDIRECT(""&amp;$C155&amp;"!e155")</f>
        <v/>
      </c>
      <c r="L155" s="74" t="str">
        <f ca="1">INDIRECT(""&amp;$C155&amp;"!f155")</f>
        <v/>
      </c>
      <c r="M155" s="74" t="str">
        <f ca="1">INDIRECT(""&amp;$C155&amp;"!g155")</f>
        <v/>
      </c>
      <c r="N155" s="74" t="str">
        <f ca="1">INDIRECT(""&amp;$C155&amp;"!h155")</f>
        <v/>
      </c>
      <c r="O155" s="74" t="str">
        <f ca="1">INDIRECT(""&amp;$C155&amp;"!i155")</f>
        <v/>
      </c>
      <c r="P155" s="5" t="str">
        <f t="shared" si="37"/>
        <v>input starter in column D</v>
      </c>
      <c r="Q155" s="5" t="str">
        <f t="shared" si="27"/>
        <v/>
      </c>
      <c r="R155" s="14">
        <v>4</v>
      </c>
      <c r="AJ155" s="33" t="str">
        <f t="shared" ca="1" si="30"/>
        <v>GCW</v>
      </c>
    </row>
    <row r="156" spans="1:36" ht="12.75">
      <c r="A156" s="6">
        <v>9.01</v>
      </c>
      <c r="B156" s="34"/>
      <c r="C156" s="34"/>
      <c r="D156" s="74"/>
      <c r="E156" s="75"/>
      <c r="F156" s="75"/>
      <c r="G156" s="75"/>
      <c r="H156" s="75"/>
      <c r="I156" s="75"/>
      <c r="J156" s="74"/>
      <c r="K156" s="74"/>
      <c r="L156" s="74"/>
      <c r="M156" s="74"/>
      <c r="N156" s="74"/>
      <c r="O156" s="74"/>
      <c r="P156" s="1"/>
      <c r="Q156" s="1"/>
      <c r="R156" s="10"/>
      <c r="AJ156" s="33" t="str">
        <f t="shared" ca="1" si="30"/>
        <v/>
      </c>
    </row>
    <row r="157" spans="1:36" ht="12.75">
      <c r="A157" s="6">
        <v>9.02</v>
      </c>
      <c r="B157" s="33" t="s">
        <v>32</v>
      </c>
      <c r="C157" s="33" t="s">
        <v>1918</v>
      </c>
      <c r="D157" s="74"/>
      <c r="E157" s="75" t="str">
        <f t="shared" si="31"/>
        <v/>
      </c>
      <c r="F157" s="75" t="str">
        <f t="shared" si="32"/>
        <v/>
      </c>
      <c r="G157" s="75" t="str">
        <f t="shared" si="33"/>
        <v/>
      </c>
      <c r="H157" s="75" t="str">
        <f t="shared" si="34"/>
        <v/>
      </c>
      <c r="I157" s="75" t="str">
        <f t="shared" si="35"/>
        <v/>
      </c>
      <c r="J157" s="74" t="str">
        <f t="shared" ca="1" si="36"/>
        <v/>
      </c>
      <c r="K157" s="74" t="str">
        <f ca="1">INDIRECT(""&amp;$C157&amp;"!e157")</f>
        <v/>
      </c>
      <c r="L157" s="74" t="str">
        <f ca="1">INDIRECT(""&amp;$C157&amp;"!f157")</f>
        <v/>
      </c>
      <c r="M157" s="74" t="str">
        <f ca="1">INDIRECT(""&amp;$C157&amp;"!g157")</f>
        <v/>
      </c>
      <c r="N157" s="74" t="str">
        <f ca="1">INDIRECT(""&amp;$C157&amp;"!h157")</f>
        <v/>
      </c>
      <c r="O157" s="74" t="str">
        <f ca="1">INDIRECT(""&amp;$C157&amp;"!i157")</f>
        <v/>
      </c>
      <c r="P157" s="5" t="str">
        <f t="shared" ref="P157:P163" si="38">IF(D157="","input starter in column D",IF(D157=D156,"not enough rest",IF(D157=D155,"not enough rest",(IF(D157=D154,"not enough rest",IF(D157=D153,"not enough rest","ok"))))))</f>
        <v>input starter in column D</v>
      </c>
      <c r="Q157" s="5" t="str">
        <f t="shared" si="27"/>
        <v/>
      </c>
      <c r="R157" s="10">
        <v>1</v>
      </c>
      <c r="AJ157" s="33" t="str">
        <f t="shared" ca="1" si="30"/>
        <v>GCW</v>
      </c>
    </row>
    <row r="158" spans="1:36" ht="12.75">
      <c r="A158" s="6">
        <v>9.0299999999999994</v>
      </c>
      <c r="B158" s="33" t="s">
        <v>32</v>
      </c>
      <c r="C158" s="33" t="s">
        <v>1918</v>
      </c>
      <c r="D158" s="74"/>
      <c r="E158" s="75" t="str">
        <f t="shared" si="31"/>
        <v/>
      </c>
      <c r="F158" s="75" t="str">
        <f t="shared" si="32"/>
        <v/>
      </c>
      <c r="G158" s="75" t="str">
        <f t="shared" si="33"/>
        <v/>
      </c>
      <c r="H158" s="75" t="str">
        <f t="shared" si="34"/>
        <v/>
      </c>
      <c r="I158" s="75" t="str">
        <f t="shared" si="35"/>
        <v/>
      </c>
      <c r="J158" s="74" t="str">
        <f t="shared" ca="1" si="36"/>
        <v/>
      </c>
      <c r="K158" s="74" t="str">
        <f ca="1">INDIRECT(""&amp;$C158&amp;"!e158")</f>
        <v/>
      </c>
      <c r="L158" s="74" t="str">
        <f ca="1">INDIRECT(""&amp;$C158&amp;"!f158")</f>
        <v/>
      </c>
      <c r="M158" s="74" t="str">
        <f ca="1">INDIRECT(""&amp;$C158&amp;"!g158")</f>
        <v/>
      </c>
      <c r="N158" s="74" t="str">
        <f ca="1">INDIRECT(""&amp;$C158&amp;"!h158")</f>
        <v/>
      </c>
      <c r="O158" s="74" t="str">
        <f ca="1">INDIRECT(""&amp;$C158&amp;"!i158")</f>
        <v/>
      </c>
      <c r="P158" s="5" t="str">
        <f t="shared" si="38"/>
        <v>input starter in column D</v>
      </c>
      <c r="Q158" s="5" t="str">
        <f t="shared" si="27"/>
        <v/>
      </c>
      <c r="R158" s="10">
        <v>2</v>
      </c>
      <c r="AJ158" s="33" t="str">
        <f t="shared" ca="1" si="30"/>
        <v>GCW</v>
      </c>
    </row>
    <row r="159" spans="1:36" ht="12.75">
      <c r="A159" s="6">
        <v>9.0399999999999991</v>
      </c>
      <c r="B159" s="33" t="s">
        <v>32</v>
      </c>
      <c r="C159" s="33" t="s">
        <v>1918</v>
      </c>
      <c r="D159" s="74"/>
      <c r="E159" s="75" t="str">
        <f t="shared" si="31"/>
        <v/>
      </c>
      <c r="F159" s="75" t="str">
        <f t="shared" si="32"/>
        <v/>
      </c>
      <c r="G159" s="75" t="str">
        <f t="shared" si="33"/>
        <v/>
      </c>
      <c r="H159" s="75" t="str">
        <f t="shared" si="34"/>
        <v/>
      </c>
      <c r="I159" s="75" t="str">
        <f t="shared" si="35"/>
        <v/>
      </c>
      <c r="J159" s="74" t="str">
        <f t="shared" ca="1" si="36"/>
        <v/>
      </c>
      <c r="K159" s="74" t="str">
        <f ca="1">INDIRECT(""&amp;$C159&amp;"!e159")</f>
        <v/>
      </c>
      <c r="L159" s="74" t="str">
        <f ca="1">INDIRECT(""&amp;$C159&amp;"!f159")</f>
        <v/>
      </c>
      <c r="M159" s="74" t="str">
        <f ca="1">INDIRECT(""&amp;$C159&amp;"!g159")</f>
        <v/>
      </c>
      <c r="N159" s="74" t="str">
        <f ca="1">INDIRECT(""&amp;$C159&amp;"!h159")</f>
        <v/>
      </c>
      <c r="O159" s="74" t="str">
        <f ca="1">INDIRECT(""&amp;$C159&amp;"!i159")</f>
        <v/>
      </c>
      <c r="P159" s="5" t="str">
        <f t="shared" si="38"/>
        <v>input starter in column D</v>
      </c>
      <c r="Q159" s="5" t="str">
        <f t="shared" si="27"/>
        <v/>
      </c>
      <c r="R159" s="10">
        <v>3</v>
      </c>
      <c r="AJ159" s="33" t="str">
        <f t="shared" ca="1" si="30"/>
        <v>GCW</v>
      </c>
    </row>
    <row r="160" spans="1:36" ht="12.75">
      <c r="A160" s="6">
        <v>9.0500000000000007</v>
      </c>
      <c r="B160" s="33"/>
      <c r="C160" s="33" t="s">
        <v>35</v>
      </c>
      <c r="D160" s="74"/>
      <c r="E160" s="75" t="str">
        <f t="shared" si="31"/>
        <v/>
      </c>
      <c r="F160" s="75" t="str">
        <f t="shared" si="32"/>
        <v/>
      </c>
      <c r="G160" s="75" t="str">
        <f t="shared" si="33"/>
        <v/>
      </c>
      <c r="H160" s="75" t="str">
        <f t="shared" si="34"/>
        <v/>
      </c>
      <c r="I160" s="75" t="str">
        <f t="shared" si="35"/>
        <v/>
      </c>
      <c r="J160" s="74" t="str">
        <f t="shared" ca="1" si="36"/>
        <v/>
      </c>
      <c r="K160" s="74" t="str">
        <f ca="1">INDIRECT(""&amp;$C160&amp;"!e160")</f>
        <v/>
      </c>
      <c r="L160" s="74" t="str">
        <f ca="1">INDIRECT(""&amp;$C160&amp;"!f160")</f>
        <v/>
      </c>
      <c r="M160" s="74" t="str">
        <f ca="1">INDIRECT(""&amp;$C160&amp;"!g160")</f>
        <v/>
      </c>
      <c r="N160" s="74" t="str">
        <f ca="1">INDIRECT(""&amp;$C160&amp;"!h160")</f>
        <v/>
      </c>
      <c r="O160" s="74" t="str">
        <f ca="1">INDIRECT(""&amp;$C160&amp;"!i160")</f>
        <v/>
      </c>
      <c r="P160" s="5" t="str">
        <f t="shared" si="38"/>
        <v>input starter in column D</v>
      </c>
      <c r="Q160" s="5" t="str">
        <f t="shared" si="27"/>
        <v/>
      </c>
      <c r="R160" s="10">
        <v>4</v>
      </c>
      <c r="AJ160" s="33" t="str">
        <f t="shared" ca="1" si="30"/>
        <v>GCW</v>
      </c>
    </row>
    <row r="161" spans="1:36" ht="12.75">
      <c r="A161" s="6">
        <v>9.06</v>
      </c>
      <c r="B161" s="33"/>
      <c r="C161" s="33" t="s">
        <v>35</v>
      </c>
      <c r="D161" s="74"/>
      <c r="E161" s="75" t="str">
        <f t="shared" si="31"/>
        <v/>
      </c>
      <c r="F161" s="75" t="str">
        <f t="shared" si="32"/>
        <v/>
      </c>
      <c r="G161" s="75" t="str">
        <f t="shared" si="33"/>
        <v/>
      </c>
      <c r="H161" s="75" t="str">
        <f t="shared" si="34"/>
        <v/>
      </c>
      <c r="I161" s="75" t="str">
        <f t="shared" si="35"/>
        <v/>
      </c>
      <c r="J161" s="74" t="str">
        <f t="shared" ca="1" si="36"/>
        <v/>
      </c>
      <c r="K161" s="74" t="str">
        <f ca="1">INDIRECT(""&amp;$C161&amp;"!e161")</f>
        <v/>
      </c>
      <c r="L161" s="74" t="str">
        <f ca="1">INDIRECT(""&amp;$C161&amp;"!f161")</f>
        <v/>
      </c>
      <c r="M161" s="74" t="str">
        <f ca="1">INDIRECT(""&amp;$C161&amp;"!g161")</f>
        <v/>
      </c>
      <c r="N161" s="74" t="str">
        <f ca="1">INDIRECT(""&amp;$C161&amp;"!h161")</f>
        <v/>
      </c>
      <c r="O161" s="74" t="str">
        <f ca="1">INDIRECT(""&amp;$C161&amp;"!i161")</f>
        <v/>
      </c>
      <c r="P161" s="5" t="str">
        <f t="shared" si="38"/>
        <v>input starter in column D</v>
      </c>
      <c r="Q161" s="5" t="str">
        <f t="shared" ref="Q161:Q185" si="39">IF(P161="not enough rest","input a DIFFERENT starter in column C","")</f>
        <v/>
      </c>
      <c r="R161" s="10">
        <v>5</v>
      </c>
      <c r="AJ161" s="33" t="str">
        <f t="shared" ca="1" si="30"/>
        <v>GCW</v>
      </c>
    </row>
    <row r="162" spans="1:36" ht="12.75">
      <c r="A162" s="6">
        <v>9.07</v>
      </c>
      <c r="B162" s="33"/>
      <c r="C162" s="33" t="s">
        <v>35</v>
      </c>
      <c r="D162" s="74"/>
      <c r="E162" s="75" t="str">
        <f t="shared" si="31"/>
        <v/>
      </c>
      <c r="F162" s="75" t="str">
        <f t="shared" si="32"/>
        <v/>
      </c>
      <c r="G162" s="75" t="str">
        <f t="shared" si="33"/>
        <v/>
      </c>
      <c r="H162" s="75" t="str">
        <f t="shared" si="34"/>
        <v/>
      </c>
      <c r="I162" s="75" t="str">
        <f t="shared" si="35"/>
        <v/>
      </c>
      <c r="J162" s="74" t="str">
        <f t="shared" ca="1" si="36"/>
        <v/>
      </c>
      <c r="K162" s="74" t="str">
        <f ca="1">INDIRECT(""&amp;$C162&amp;"!e162")</f>
        <v/>
      </c>
      <c r="L162" s="74" t="str">
        <f ca="1">INDIRECT(""&amp;$C162&amp;"!f162")</f>
        <v/>
      </c>
      <c r="M162" s="74" t="str">
        <f ca="1">INDIRECT(""&amp;$C162&amp;"!g162")</f>
        <v/>
      </c>
      <c r="N162" s="74" t="str">
        <f ca="1">INDIRECT(""&amp;$C162&amp;"!h162")</f>
        <v/>
      </c>
      <c r="O162" s="74" t="str">
        <f ca="1">INDIRECT(""&amp;$C162&amp;"!i162")</f>
        <v/>
      </c>
      <c r="P162" s="5" t="str">
        <f t="shared" si="38"/>
        <v>input starter in column D</v>
      </c>
      <c r="Q162" s="5" t="str">
        <f t="shared" si="39"/>
        <v/>
      </c>
      <c r="R162" s="10">
        <v>1</v>
      </c>
      <c r="AJ162" s="33" t="str">
        <f t="shared" ca="1" si="30"/>
        <v>GCW</v>
      </c>
    </row>
    <row r="163" spans="1:36" ht="12.75">
      <c r="A163" s="6">
        <v>9.08</v>
      </c>
      <c r="B163" s="33"/>
      <c r="C163" s="33" t="s">
        <v>41</v>
      </c>
      <c r="D163" s="74"/>
      <c r="E163" s="75" t="str">
        <f t="shared" si="31"/>
        <v/>
      </c>
      <c r="F163" s="75" t="str">
        <f t="shared" si="32"/>
        <v/>
      </c>
      <c r="G163" s="75" t="str">
        <f t="shared" si="33"/>
        <v/>
      </c>
      <c r="H163" s="75" t="str">
        <f t="shared" si="34"/>
        <v/>
      </c>
      <c r="I163" s="75" t="str">
        <f t="shared" si="35"/>
        <v/>
      </c>
      <c r="J163" s="74" t="str">
        <f t="shared" ca="1" si="36"/>
        <v/>
      </c>
      <c r="K163" s="74" t="str">
        <f ca="1">INDIRECT(""&amp;$C163&amp;"!e163")</f>
        <v/>
      </c>
      <c r="L163" s="74" t="str">
        <f ca="1">INDIRECT(""&amp;$C163&amp;"!f163")</f>
        <v/>
      </c>
      <c r="M163" s="74" t="str">
        <f ca="1">INDIRECT(""&amp;$C163&amp;"!g163")</f>
        <v/>
      </c>
      <c r="N163" s="74" t="str">
        <f ca="1">INDIRECT(""&amp;$C163&amp;"!h163")</f>
        <v/>
      </c>
      <c r="O163" s="74" t="str">
        <f ca="1">INDIRECT(""&amp;$C163&amp;"!i163")</f>
        <v/>
      </c>
      <c r="P163" s="5" t="str">
        <f t="shared" si="38"/>
        <v>input starter in column D</v>
      </c>
      <c r="Q163" s="5" t="str">
        <f t="shared" si="39"/>
        <v/>
      </c>
      <c r="R163" s="10">
        <v>2</v>
      </c>
      <c r="AJ163" s="33" t="str">
        <f t="shared" ca="1" si="30"/>
        <v>GCW</v>
      </c>
    </row>
    <row r="164" spans="1:36" ht="12.75">
      <c r="A164" s="6">
        <v>9.09</v>
      </c>
      <c r="B164" s="33"/>
      <c r="C164" s="33"/>
      <c r="D164" s="74"/>
      <c r="E164" s="75"/>
      <c r="F164" s="75"/>
      <c r="G164" s="75"/>
      <c r="H164" s="75"/>
      <c r="I164" s="75"/>
      <c r="J164" s="74"/>
      <c r="K164" s="74"/>
      <c r="L164" s="74"/>
      <c r="M164" s="74"/>
      <c r="N164" s="74"/>
      <c r="O164" s="74"/>
      <c r="P164" s="1"/>
      <c r="Q164" s="1"/>
      <c r="R164" s="10"/>
      <c r="AJ164" s="33" t="str">
        <f t="shared" ca="1" si="30"/>
        <v/>
      </c>
    </row>
    <row r="165" spans="1:36" ht="12.75">
      <c r="A165" s="6">
        <v>9.1</v>
      </c>
      <c r="B165" s="33"/>
      <c r="C165" s="33" t="s">
        <v>41</v>
      </c>
      <c r="D165" s="74"/>
      <c r="E165" s="75" t="str">
        <f t="shared" si="31"/>
        <v/>
      </c>
      <c r="F165" s="75" t="str">
        <f t="shared" si="32"/>
        <v/>
      </c>
      <c r="G165" s="75" t="str">
        <f t="shared" si="33"/>
        <v/>
      </c>
      <c r="H165" s="75" t="str">
        <f t="shared" si="34"/>
        <v/>
      </c>
      <c r="I165" s="75" t="str">
        <f t="shared" si="35"/>
        <v/>
      </c>
      <c r="J165" s="74" t="str">
        <f t="shared" ca="1" si="36"/>
        <v/>
      </c>
      <c r="K165" s="74" t="str">
        <f ca="1">INDIRECT(""&amp;$C165&amp;"!e165")</f>
        <v/>
      </c>
      <c r="L165" s="74" t="str">
        <f ca="1">INDIRECT(""&amp;$C165&amp;"!f165")</f>
        <v/>
      </c>
      <c r="M165" s="74" t="str">
        <f ca="1">INDIRECT(""&amp;$C165&amp;"!g165")</f>
        <v/>
      </c>
      <c r="N165" s="74" t="str">
        <f ca="1">INDIRECT(""&amp;$C165&amp;"!h165")</f>
        <v/>
      </c>
      <c r="O165" s="74" t="str">
        <f ca="1">INDIRECT(""&amp;$C165&amp;"!i165")</f>
        <v/>
      </c>
      <c r="P165" s="5" t="str">
        <f t="shared" ref="P165:P174" si="40">IF(D165="","input starter in column D",IF(D165=D164,"not enough rest",IF(D165=D163,"not enough rest",(IF(D165=D162,"not enough rest",IF(D165=D161,"not enough rest","ok"))))))</f>
        <v>input starter in column D</v>
      </c>
      <c r="Q165" s="5" t="str">
        <f t="shared" si="39"/>
        <v/>
      </c>
      <c r="R165" s="10">
        <v>3</v>
      </c>
      <c r="AJ165" s="33" t="str">
        <f t="shared" ca="1" si="30"/>
        <v>GCW</v>
      </c>
    </row>
    <row r="166" spans="1:36" ht="12.75">
      <c r="A166" s="6">
        <v>9.11</v>
      </c>
      <c r="B166" s="33"/>
      <c r="C166" s="33" t="s">
        <v>41</v>
      </c>
      <c r="D166" s="74"/>
      <c r="E166" s="75" t="str">
        <f t="shared" si="31"/>
        <v/>
      </c>
      <c r="F166" s="75" t="str">
        <f t="shared" si="32"/>
        <v/>
      </c>
      <c r="G166" s="75" t="str">
        <f t="shared" si="33"/>
        <v/>
      </c>
      <c r="H166" s="75" t="str">
        <f t="shared" si="34"/>
        <v/>
      </c>
      <c r="I166" s="75" t="str">
        <f t="shared" si="35"/>
        <v/>
      </c>
      <c r="J166" s="74" t="str">
        <f t="shared" ca="1" si="36"/>
        <v/>
      </c>
      <c r="K166" s="74" t="str">
        <f ca="1">INDIRECT(""&amp;$C166&amp;"!e166")</f>
        <v/>
      </c>
      <c r="L166" s="74" t="str">
        <f ca="1">INDIRECT(""&amp;$C166&amp;"!f166")</f>
        <v/>
      </c>
      <c r="M166" s="74" t="str">
        <f ca="1">INDIRECT(""&amp;$C166&amp;"!g166")</f>
        <v/>
      </c>
      <c r="N166" s="74" t="str">
        <f ca="1">INDIRECT(""&amp;$C166&amp;"!h166")</f>
        <v/>
      </c>
      <c r="O166" s="74" t="str">
        <f ca="1">INDIRECT(""&amp;$C166&amp;"!i166")</f>
        <v/>
      </c>
      <c r="P166" s="5" t="str">
        <f t="shared" si="40"/>
        <v>input starter in column D</v>
      </c>
      <c r="Q166" s="5" t="str">
        <f t="shared" si="39"/>
        <v/>
      </c>
      <c r="R166" s="10">
        <v>4</v>
      </c>
      <c r="AJ166" s="33" t="str">
        <f t="shared" ca="1" si="30"/>
        <v>GCW</v>
      </c>
    </row>
    <row r="167" spans="1:36" ht="12.75">
      <c r="A167" s="6">
        <v>9.1199999999999992</v>
      </c>
      <c r="B167" s="33"/>
      <c r="C167" s="33" t="s">
        <v>17</v>
      </c>
      <c r="D167" s="74"/>
      <c r="E167" s="75" t="str">
        <f t="shared" si="31"/>
        <v/>
      </c>
      <c r="F167" s="75" t="str">
        <f t="shared" si="32"/>
        <v/>
      </c>
      <c r="G167" s="75" t="str">
        <f t="shared" si="33"/>
        <v/>
      </c>
      <c r="H167" s="75" t="str">
        <f t="shared" si="34"/>
        <v/>
      </c>
      <c r="I167" s="75" t="str">
        <f t="shared" si="35"/>
        <v/>
      </c>
      <c r="J167" s="74" t="str">
        <f t="shared" ca="1" si="36"/>
        <v/>
      </c>
      <c r="K167" s="74" t="str">
        <f ca="1">INDIRECT(""&amp;$C167&amp;"!e167")</f>
        <v/>
      </c>
      <c r="L167" s="74" t="str">
        <f ca="1">INDIRECT(""&amp;$C167&amp;"!f167")</f>
        <v/>
      </c>
      <c r="M167" s="74" t="str">
        <f ca="1">INDIRECT(""&amp;$C167&amp;"!g167")</f>
        <v/>
      </c>
      <c r="N167" s="74" t="str">
        <f ca="1">INDIRECT(""&amp;$C167&amp;"!h167")</f>
        <v/>
      </c>
      <c r="O167" s="74" t="str">
        <f ca="1">INDIRECT(""&amp;$C167&amp;"!i167")</f>
        <v/>
      </c>
      <c r="P167" s="5" t="str">
        <f t="shared" si="40"/>
        <v>input starter in column D</v>
      </c>
      <c r="Q167" s="5" t="str">
        <f t="shared" si="39"/>
        <v/>
      </c>
      <c r="R167" s="10">
        <v>1</v>
      </c>
      <c r="AJ167" s="33" t="str">
        <f t="shared" ca="1" si="30"/>
        <v>GCW</v>
      </c>
    </row>
    <row r="168" spans="1:36" ht="12.75">
      <c r="A168" s="6">
        <v>9.1300000000000008</v>
      </c>
      <c r="B168" s="33"/>
      <c r="C168" s="33" t="s">
        <v>17</v>
      </c>
      <c r="D168" s="74"/>
      <c r="E168" s="75" t="str">
        <f t="shared" si="31"/>
        <v/>
      </c>
      <c r="F168" s="75" t="str">
        <f t="shared" si="32"/>
        <v/>
      </c>
      <c r="G168" s="75" t="str">
        <f t="shared" si="33"/>
        <v/>
      </c>
      <c r="H168" s="75" t="str">
        <f t="shared" si="34"/>
        <v/>
      </c>
      <c r="I168" s="75" t="str">
        <f t="shared" si="35"/>
        <v/>
      </c>
      <c r="J168" s="74" t="str">
        <f t="shared" ca="1" si="36"/>
        <v/>
      </c>
      <c r="K168" s="74" t="str">
        <f ca="1">INDIRECT(""&amp;$C168&amp;"!e168")</f>
        <v/>
      </c>
      <c r="L168" s="74" t="str">
        <f ca="1">INDIRECT(""&amp;$C168&amp;"!f168")</f>
        <v/>
      </c>
      <c r="M168" s="74" t="str">
        <f ca="1">INDIRECT(""&amp;$C168&amp;"!g168")</f>
        <v/>
      </c>
      <c r="N168" s="74" t="str">
        <f ca="1">INDIRECT(""&amp;$C168&amp;"!h168")</f>
        <v/>
      </c>
      <c r="O168" s="74" t="str">
        <f ca="1">INDIRECT(""&amp;$C168&amp;"!i168")</f>
        <v/>
      </c>
      <c r="P168" s="5" t="str">
        <f t="shared" si="40"/>
        <v>input starter in column D</v>
      </c>
      <c r="Q168" s="5" t="str">
        <f t="shared" si="39"/>
        <v/>
      </c>
      <c r="R168" s="10">
        <v>2</v>
      </c>
      <c r="AJ168" s="33" t="str">
        <f t="shared" ca="1" si="30"/>
        <v>GCW</v>
      </c>
    </row>
    <row r="169" spans="1:36" ht="12.75">
      <c r="A169" s="6">
        <v>9.14</v>
      </c>
      <c r="B169" s="33"/>
      <c r="C169" s="33" t="s">
        <v>17</v>
      </c>
      <c r="D169" s="74"/>
      <c r="E169" s="75" t="str">
        <f t="shared" si="31"/>
        <v/>
      </c>
      <c r="F169" s="75" t="str">
        <f t="shared" si="32"/>
        <v/>
      </c>
      <c r="G169" s="75" t="str">
        <f t="shared" si="33"/>
        <v/>
      </c>
      <c r="H169" s="75" t="str">
        <f t="shared" si="34"/>
        <v/>
      </c>
      <c r="I169" s="75" t="str">
        <f t="shared" si="35"/>
        <v/>
      </c>
      <c r="J169" s="74" t="str">
        <f t="shared" ca="1" si="36"/>
        <v/>
      </c>
      <c r="K169" s="74" t="str">
        <f ca="1">INDIRECT(""&amp;$C169&amp;"!e169")</f>
        <v/>
      </c>
      <c r="L169" s="74" t="str">
        <f ca="1">INDIRECT(""&amp;$C169&amp;"!f169")</f>
        <v/>
      </c>
      <c r="M169" s="74" t="str">
        <f ca="1">INDIRECT(""&amp;$C169&amp;"!g169")</f>
        <v/>
      </c>
      <c r="N169" s="74" t="str">
        <f ca="1">INDIRECT(""&amp;$C169&amp;"!h169")</f>
        <v/>
      </c>
      <c r="O169" s="74" t="str">
        <f ca="1">INDIRECT(""&amp;$C169&amp;"!i169")</f>
        <v/>
      </c>
      <c r="P169" s="5" t="str">
        <f t="shared" si="40"/>
        <v>input starter in column D</v>
      </c>
      <c r="Q169" s="5" t="str">
        <f t="shared" si="39"/>
        <v/>
      </c>
      <c r="R169" s="10">
        <v>5</v>
      </c>
      <c r="AJ169" s="33" t="str">
        <f t="shared" ca="1" si="30"/>
        <v>GCW</v>
      </c>
    </row>
    <row r="170" spans="1:36" ht="12.75">
      <c r="A170" s="6">
        <v>9.15</v>
      </c>
      <c r="B170" s="33"/>
      <c r="C170" s="33" t="s">
        <v>17</v>
      </c>
      <c r="D170" s="74"/>
      <c r="E170" s="75" t="str">
        <f t="shared" si="31"/>
        <v/>
      </c>
      <c r="F170" s="75" t="str">
        <f t="shared" si="32"/>
        <v/>
      </c>
      <c r="G170" s="75" t="str">
        <f t="shared" si="33"/>
        <v/>
      </c>
      <c r="H170" s="75" t="str">
        <f t="shared" si="34"/>
        <v/>
      </c>
      <c r="I170" s="75" t="str">
        <f t="shared" si="35"/>
        <v/>
      </c>
      <c r="J170" s="74" t="str">
        <f t="shared" ca="1" si="36"/>
        <v/>
      </c>
      <c r="K170" s="74" t="str">
        <f ca="1">INDIRECT(""&amp;$C170&amp;"!e170")</f>
        <v/>
      </c>
      <c r="L170" s="74" t="str">
        <f ca="1">INDIRECT(""&amp;$C170&amp;"!f170")</f>
        <v/>
      </c>
      <c r="M170" s="74" t="str">
        <f ca="1">INDIRECT(""&amp;$C170&amp;"!g170")</f>
        <v/>
      </c>
      <c r="N170" s="74" t="str">
        <f ca="1">INDIRECT(""&amp;$C170&amp;"!h170")</f>
        <v/>
      </c>
      <c r="O170" s="74" t="str">
        <f ca="1">INDIRECT(""&amp;$C170&amp;"!i170")</f>
        <v/>
      </c>
      <c r="P170" s="5" t="str">
        <f t="shared" si="40"/>
        <v>input starter in column D</v>
      </c>
      <c r="Q170" s="5" t="str">
        <f t="shared" si="39"/>
        <v/>
      </c>
      <c r="R170" s="10">
        <v>3</v>
      </c>
      <c r="AJ170" s="33" t="str">
        <f t="shared" ca="1" si="30"/>
        <v>GCW</v>
      </c>
    </row>
    <row r="171" spans="1:36" ht="12.75">
      <c r="A171" s="6">
        <v>9.16</v>
      </c>
      <c r="B171" s="33"/>
      <c r="C171" s="33" t="s">
        <v>45</v>
      </c>
      <c r="D171" s="74"/>
      <c r="E171" s="75" t="str">
        <f t="shared" si="31"/>
        <v/>
      </c>
      <c r="F171" s="75" t="str">
        <f t="shared" si="32"/>
        <v/>
      </c>
      <c r="G171" s="75" t="str">
        <f t="shared" si="33"/>
        <v/>
      </c>
      <c r="H171" s="75" t="str">
        <f t="shared" si="34"/>
        <v/>
      </c>
      <c r="I171" s="75" t="str">
        <f t="shared" si="35"/>
        <v/>
      </c>
      <c r="J171" s="74" t="str">
        <f t="shared" ca="1" si="36"/>
        <v/>
      </c>
      <c r="K171" s="74" t="str">
        <f ca="1">INDIRECT(""&amp;$C171&amp;"!e171")</f>
        <v/>
      </c>
      <c r="L171" s="74" t="str">
        <f ca="1">INDIRECT(""&amp;$C171&amp;"!f171")</f>
        <v/>
      </c>
      <c r="M171" s="74" t="str">
        <f ca="1">INDIRECT(""&amp;$C171&amp;"!g171")</f>
        <v/>
      </c>
      <c r="N171" s="74" t="str">
        <f ca="1">INDIRECT(""&amp;$C171&amp;"!h171")</f>
        <v/>
      </c>
      <c r="O171" s="74" t="str">
        <f ca="1">INDIRECT(""&amp;$C171&amp;"!i171")</f>
        <v/>
      </c>
      <c r="P171" s="5" t="str">
        <f t="shared" si="40"/>
        <v>input starter in column D</v>
      </c>
      <c r="Q171" s="5" t="str">
        <f t="shared" si="39"/>
        <v/>
      </c>
      <c r="R171" s="10">
        <v>4</v>
      </c>
      <c r="AJ171" s="33" t="str">
        <f t="shared" ca="1" si="30"/>
        <v>GCW</v>
      </c>
    </row>
    <row r="172" spans="1:36" ht="12.75">
      <c r="A172" s="6">
        <v>9.17</v>
      </c>
      <c r="B172" s="33"/>
      <c r="C172" s="33" t="s">
        <v>45</v>
      </c>
      <c r="D172" s="74"/>
      <c r="E172" s="75" t="str">
        <f t="shared" si="31"/>
        <v/>
      </c>
      <c r="F172" s="75" t="str">
        <f t="shared" si="32"/>
        <v/>
      </c>
      <c r="G172" s="75" t="str">
        <f t="shared" si="33"/>
        <v/>
      </c>
      <c r="H172" s="75" t="str">
        <f t="shared" si="34"/>
        <v/>
      </c>
      <c r="I172" s="75" t="str">
        <f t="shared" si="35"/>
        <v/>
      </c>
      <c r="J172" s="74" t="str">
        <f t="shared" ca="1" si="36"/>
        <v/>
      </c>
      <c r="K172" s="74" t="str">
        <f ca="1">INDIRECT(""&amp;$C172&amp;"!e172")</f>
        <v/>
      </c>
      <c r="L172" s="74" t="str">
        <f ca="1">INDIRECT(""&amp;$C172&amp;"!f172")</f>
        <v/>
      </c>
      <c r="M172" s="74" t="str">
        <f ca="1">INDIRECT(""&amp;$C172&amp;"!g172")</f>
        <v/>
      </c>
      <c r="N172" s="74" t="str">
        <f ca="1">INDIRECT(""&amp;$C172&amp;"!h172")</f>
        <v/>
      </c>
      <c r="O172" s="74" t="str">
        <f ca="1">INDIRECT(""&amp;$C172&amp;"!i172")</f>
        <v/>
      </c>
      <c r="P172" s="5" t="str">
        <f t="shared" si="40"/>
        <v>input starter in column D</v>
      </c>
      <c r="Q172" s="5" t="str">
        <f t="shared" si="39"/>
        <v/>
      </c>
      <c r="R172" s="10">
        <v>1</v>
      </c>
      <c r="AJ172" s="33" t="str">
        <f t="shared" ca="1" si="30"/>
        <v>GCW</v>
      </c>
    </row>
    <row r="173" spans="1:36" ht="12.75">
      <c r="A173" s="6">
        <v>9.18</v>
      </c>
      <c r="B173" s="33"/>
      <c r="C173" s="33" t="s">
        <v>45</v>
      </c>
      <c r="D173" s="74"/>
      <c r="E173" s="75" t="str">
        <f t="shared" si="31"/>
        <v/>
      </c>
      <c r="F173" s="75" t="str">
        <f t="shared" si="32"/>
        <v/>
      </c>
      <c r="G173" s="75" t="str">
        <f t="shared" si="33"/>
        <v/>
      </c>
      <c r="H173" s="75" t="str">
        <f t="shared" si="34"/>
        <v/>
      </c>
      <c r="I173" s="75" t="str">
        <f t="shared" si="35"/>
        <v/>
      </c>
      <c r="J173" s="74" t="str">
        <f t="shared" ca="1" si="36"/>
        <v/>
      </c>
      <c r="K173" s="74" t="str">
        <f ca="1">INDIRECT(""&amp;$C173&amp;"!e173")</f>
        <v/>
      </c>
      <c r="L173" s="74" t="str">
        <f ca="1">INDIRECT(""&amp;$C173&amp;"!f173")</f>
        <v/>
      </c>
      <c r="M173" s="74" t="str">
        <f ca="1">INDIRECT(""&amp;$C173&amp;"!g173")</f>
        <v/>
      </c>
      <c r="N173" s="74" t="str">
        <f ca="1">INDIRECT(""&amp;$C173&amp;"!h173")</f>
        <v/>
      </c>
      <c r="O173" s="74" t="str">
        <f ca="1">INDIRECT(""&amp;$C173&amp;"!i173")</f>
        <v/>
      </c>
      <c r="P173" s="5" t="str">
        <f t="shared" si="40"/>
        <v>input starter in column D</v>
      </c>
      <c r="Q173" s="5" t="str">
        <f t="shared" si="39"/>
        <v/>
      </c>
      <c r="R173" s="10">
        <v>2</v>
      </c>
      <c r="AJ173" s="33" t="str">
        <f t="shared" ca="1" si="30"/>
        <v>GCW</v>
      </c>
    </row>
    <row r="174" spans="1:36" ht="12.75">
      <c r="A174" s="6">
        <v>9.19</v>
      </c>
      <c r="B174" s="32" t="s">
        <v>32</v>
      </c>
      <c r="C174" s="33" t="s">
        <v>15</v>
      </c>
      <c r="D174" s="74"/>
      <c r="E174" s="75" t="str">
        <f t="shared" si="31"/>
        <v/>
      </c>
      <c r="F174" s="75" t="str">
        <f t="shared" si="32"/>
        <v/>
      </c>
      <c r="G174" s="75" t="str">
        <f t="shared" si="33"/>
        <v/>
      </c>
      <c r="H174" s="75" t="str">
        <f t="shared" si="34"/>
        <v/>
      </c>
      <c r="I174" s="75" t="str">
        <f t="shared" si="35"/>
        <v/>
      </c>
      <c r="J174" s="74" t="str">
        <f t="shared" ca="1" si="36"/>
        <v/>
      </c>
      <c r="K174" s="74" t="str">
        <f ca="1">INDIRECT(""&amp;$C174&amp;"!e174")</f>
        <v/>
      </c>
      <c r="L174" s="74" t="str">
        <f ca="1">INDIRECT(""&amp;$C174&amp;"!f174")</f>
        <v/>
      </c>
      <c r="M174" s="74" t="str">
        <f ca="1">INDIRECT(""&amp;$C174&amp;"!g174")</f>
        <v/>
      </c>
      <c r="N174" s="74" t="str">
        <f ca="1">INDIRECT(""&amp;$C174&amp;"!h174")</f>
        <v/>
      </c>
      <c r="O174" s="74" t="str">
        <f ca="1">INDIRECT(""&amp;$C174&amp;"!i174")</f>
        <v/>
      </c>
      <c r="P174" s="5" t="str">
        <f t="shared" si="40"/>
        <v>input starter in column D</v>
      </c>
      <c r="Q174" s="5" t="str">
        <f t="shared" si="39"/>
        <v/>
      </c>
      <c r="R174" s="10">
        <v>5</v>
      </c>
      <c r="AJ174" s="33" t="str">
        <f t="shared" ca="1" si="30"/>
        <v>GCW</v>
      </c>
    </row>
    <row r="175" spans="1:36" ht="12.75">
      <c r="A175" s="6">
        <v>9.1999999999999993</v>
      </c>
      <c r="B175" s="32"/>
      <c r="C175" s="33"/>
      <c r="D175" s="74"/>
      <c r="E175" s="75"/>
      <c r="F175" s="75"/>
      <c r="G175" s="75"/>
      <c r="H175" s="75"/>
      <c r="I175" s="75"/>
      <c r="J175" s="74"/>
      <c r="K175" s="74"/>
      <c r="L175" s="74"/>
      <c r="M175" s="74"/>
      <c r="N175" s="74"/>
      <c r="O175" s="74"/>
      <c r="P175" s="1"/>
      <c r="Q175" s="1"/>
      <c r="R175" s="10"/>
      <c r="AJ175" s="33" t="str">
        <f t="shared" ca="1" si="30"/>
        <v/>
      </c>
    </row>
    <row r="176" spans="1:36" ht="12.75">
      <c r="A176" s="6">
        <v>9.2100000000000009</v>
      </c>
      <c r="B176" s="32" t="s">
        <v>32</v>
      </c>
      <c r="C176" s="33" t="s">
        <v>15</v>
      </c>
      <c r="D176" s="74"/>
      <c r="E176" s="75" t="str">
        <f t="shared" si="31"/>
        <v/>
      </c>
      <c r="F176" s="75" t="str">
        <f t="shared" si="32"/>
        <v/>
      </c>
      <c r="G176" s="75" t="str">
        <f t="shared" si="33"/>
        <v/>
      </c>
      <c r="H176" s="75" t="str">
        <f t="shared" si="34"/>
        <v/>
      </c>
      <c r="I176" s="75" t="str">
        <f t="shared" si="35"/>
        <v/>
      </c>
      <c r="J176" s="74" t="str">
        <f t="shared" ca="1" si="36"/>
        <v/>
      </c>
      <c r="K176" s="74" t="str">
        <f ca="1">INDIRECT(""&amp;$C176&amp;"!e176")</f>
        <v/>
      </c>
      <c r="L176" s="74" t="str">
        <f ca="1">INDIRECT(""&amp;$C176&amp;"!f176")</f>
        <v/>
      </c>
      <c r="M176" s="74" t="str">
        <f ca="1">INDIRECT(""&amp;$C176&amp;"!g176")</f>
        <v/>
      </c>
      <c r="N176" s="74" t="str">
        <f ca="1">INDIRECT(""&amp;$C176&amp;"!h176")</f>
        <v/>
      </c>
      <c r="O176" s="74" t="str">
        <f ca="1">INDIRECT(""&amp;$C176&amp;"!i176")</f>
        <v/>
      </c>
      <c r="P176" s="5" t="str">
        <f t="shared" ref="P176:P185" si="41">IF(D176="","input starter in column D",IF(D176=D175,"not enough rest",IF(D176=D174,"not enough rest",(IF(D176=D173,"not enough rest",IF(D176=D172,"not enough rest","ok"))))))</f>
        <v>input starter in column D</v>
      </c>
      <c r="Q176" s="5" t="str">
        <f t="shared" si="39"/>
        <v/>
      </c>
      <c r="R176" s="10">
        <v>3</v>
      </c>
      <c r="AJ176" s="33" t="str">
        <f t="shared" ca="1" si="30"/>
        <v>GCW</v>
      </c>
    </row>
    <row r="177" spans="1:36" ht="12.75">
      <c r="A177" s="6">
        <v>9.2200000000000006</v>
      </c>
      <c r="B177" s="32" t="s">
        <v>32</v>
      </c>
      <c r="C177" s="33" t="s">
        <v>15</v>
      </c>
      <c r="D177" s="74"/>
      <c r="E177" s="75" t="str">
        <f t="shared" si="31"/>
        <v/>
      </c>
      <c r="F177" s="75" t="str">
        <f t="shared" si="32"/>
        <v/>
      </c>
      <c r="G177" s="75" t="str">
        <f t="shared" si="33"/>
        <v/>
      </c>
      <c r="H177" s="75" t="str">
        <f t="shared" si="34"/>
        <v/>
      </c>
      <c r="I177" s="75" t="str">
        <f t="shared" si="35"/>
        <v/>
      </c>
      <c r="J177" s="74" t="str">
        <f t="shared" ca="1" si="36"/>
        <v/>
      </c>
      <c r="K177" s="74" t="str">
        <f ca="1">INDIRECT(""&amp;$C177&amp;"!e177")</f>
        <v/>
      </c>
      <c r="L177" s="74" t="str">
        <f ca="1">INDIRECT(""&amp;$C177&amp;"!f177")</f>
        <v/>
      </c>
      <c r="M177" s="74" t="str">
        <f ca="1">INDIRECT(""&amp;$C177&amp;"!g177")</f>
        <v/>
      </c>
      <c r="N177" s="74" t="str">
        <f ca="1">INDIRECT(""&amp;$C177&amp;"!h177")</f>
        <v/>
      </c>
      <c r="O177" s="74" t="str">
        <f ca="1">INDIRECT(""&amp;$C177&amp;"!i177")</f>
        <v/>
      </c>
      <c r="P177" s="5" t="str">
        <f t="shared" si="41"/>
        <v>input starter in column D</v>
      </c>
      <c r="Q177" s="5" t="str">
        <f t="shared" si="39"/>
        <v/>
      </c>
      <c r="R177" s="10">
        <v>1</v>
      </c>
      <c r="AJ177" s="33" t="str">
        <f t="shared" ca="1" si="30"/>
        <v>GCW</v>
      </c>
    </row>
    <row r="178" spans="1:36" ht="12.75">
      <c r="A178" s="6">
        <v>9.23</v>
      </c>
      <c r="B178" s="32" t="s">
        <v>32</v>
      </c>
      <c r="C178" s="33" t="s">
        <v>15</v>
      </c>
      <c r="D178" s="74"/>
      <c r="E178" s="75" t="str">
        <f t="shared" si="31"/>
        <v/>
      </c>
      <c r="F178" s="75" t="str">
        <f t="shared" si="32"/>
        <v/>
      </c>
      <c r="G178" s="75" t="str">
        <f t="shared" si="33"/>
        <v/>
      </c>
      <c r="H178" s="75" t="str">
        <f t="shared" si="34"/>
        <v/>
      </c>
      <c r="I178" s="75" t="str">
        <f t="shared" si="35"/>
        <v/>
      </c>
      <c r="J178" s="74" t="str">
        <f t="shared" ca="1" si="36"/>
        <v/>
      </c>
      <c r="K178" s="74" t="str">
        <f ca="1">INDIRECT(""&amp;$C178&amp;"!e178")</f>
        <v/>
      </c>
      <c r="L178" s="74" t="str">
        <f ca="1">INDIRECT(""&amp;$C178&amp;"!f178")</f>
        <v/>
      </c>
      <c r="M178" s="74" t="str">
        <f ca="1">INDIRECT(""&amp;$C178&amp;"!g178")</f>
        <v/>
      </c>
      <c r="N178" s="74" t="str">
        <f ca="1">INDIRECT(""&amp;$C178&amp;"!h178")</f>
        <v/>
      </c>
      <c r="O178" s="74" t="str">
        <f ca="1">INDIRECT(""&amp;$C178&amp;"!i178")</f>
        <v/>
      </c>
      <c r="P178" s="5" t="str">
        <f t="shared" si="41"/>
        <v>input starter in column D</v>
      </c>
      <c r="Q178" s="5" t="str">
        <f t="shared" si="39"/>
        <v/>
      </c>
      <c r="R178" s="10">
        <v>2</v>
      </c>
      <c r="AJ178" s="33" t="str">
        <f t="shared" ca="1" si="30"/>
        <v>GCW</v>
      </c>
    </row>
    <row r="179" spans="1:36" ht="12.75">
      <c r="A179" s="6">
        <v>9.24</v>
      </c>
      <c r="B179" s="33" t="s">
        <v>32</v>
      </c>
      <c r="C179" s="33" t="s">
        <v>54</v>
      </c>
      <c r="D179" s="74"/>
      <c r="E179" s="75" t="str">
        <f t="shared" si="31"/>
        <v/>
      </c>
      <c r="F179" s="75" t="str">
        <f t="shared" si="32"/>
        <v/>
      </c>
      <c r="G179" s="75" t="str">
        <f t="shared" si="33"/>
        <v/>
      </c>
      <c r="H179" s="75" t="str">
        <f t="shared" si="34"/>
        <v/>
      </c>
      <c r="I179" s="75" t="str">
        <f t="shared" si="35"/>
        <v/>
      </c>
      <c r="J179" s="74" t="str">
        <f t="shared" ca="1" si="36"/>
        <v/>
      </c>
      <c r="K179" s="74" t="str">
        <f ca="1">INDIRECT(""&amp;$C179&amp;"!e179")</f>
        <v/>
      </c>
      <c r="L179" s="74" t="str">
        <f ca="1">INDIRECT(""&amp;$C179&amp;"!f179")</f>
        <v/>
      </c>
      <c r="M179" s="74" t="str">
        <f ca="1">INDIRECT(""&amp;$C179&amp;"!g179")</f>
        <v/>
      </c>
      <c r="N179" s="74" t="str">
        <f ca="1">INDIRECT(""&amp;$C179&amp;"!h179")</f>
        <v/>
      </c>
      <c r="O179" s="74" t="str">
        <f ca="1">INDIRECT(""&amp;$C179&amp;"!i179")</f>
        <v/>
      </c>
      <c r="P179" s="5" t="str">
        <f t="shared" si="41"/>
        <v>input starter in column D</v>
      </c>
      <c r="Q179" s="5" t="str">
        <f t="shared" si="39"/>
        <v/>
      </c>
      <c r="R179" s="10">
        <v>4</v>
      </c>
      <c r="AJ179" s="33" t="str">
        <f t="shared" ca="1" si="30"/>
        <v>GCW</v>
      </c>
    </row>
    <row r="180" spans="1:36" ht="12.75">
      <c r="A180" s="6">
        <v>9.25</v>
      </c>
      <c r="B180" s="33" t="s">
        <v>32</v>
      </c>
      <c r="C180" s="33" t="s">
        <v>54</v>
      </c>
      <c r="D180" s="74"/>
      <c r="E180" s="75" t="str">
        <f t="shared" si="31"/>
        <v/>
      </c>
      <c r="F180" s="75" t="str">
        <f t="shared" si="32"/>
        <v/>
      </c>
      <c r="G180" s="75" t="str">
        <f t="shared" si="33"/>
        <v/>
      </c>
      <c r="H180" s="75" t="str">
        <f t="shared" si="34"/>
        <v/>
      </c>
      <c r="I180" s="75" t="str">
        <f t="shared" si="35"/>
        <v/>
      </c>
      <c r="J180" s="74" t="str">
        <f t="shared" ca="1" si="36"/>
        <v/>
      </c>
      <c r="K180" s="74" t="str">
        <f ca="1">INDIRECT(""&amp;$C180&amp;"!e180")</f>
        <v/>
      </c>
      <c r="L180" s="74" t="str">
        <f ca="1">INDIRECT(""&amp;$C180&amp;"!f180")</f>
        <v/>
      </c>
      <c r="M180" s="74" t="str">
        <f ca="1">INDIRECT(""&amp;$C180&amp;"!g180")</f>
        <v/>
      </c>
      <c r="N180" s="74" t="str">
        <f ca="1">INDIRECT(""&amp;$C180&amp;"!h180")</f>
        <v/>
      </c>
      <c r="O180" s="74" t="str">
        <f ca="1">INDIRECT(""&amp;$C180&amp;"!i180")</f>
        <v/>
      </c>
      <c r="P180" s="5" t="str">
        <f t="shared" si="41"/>
        <v>input starter in column D</v>
      </c>
      <c r="Q180" s="5" t="str">
        <f t="shared" si="39"/>
        <v/>
      </c>
      <c r="R180" s="10">
        <v>5</v>
      </c>
      <c r="AJ180" s="33" t="str">
        <f t="shared" ca="1" si="30"/>
        <v>GCW</v>
      </c>
    </row>
    <row r="181" spans="1:36" ht="12.75">
      <c r="A181" s="6">
        <v>9.26</v>
      </c>
      <c r="B181" s="33" t="s">
        <v>32</v>
      </c>
      <c r="C181" s="33" t="s">
        <v>54</v>
      </c>
      <c r="D181" s="74"/>
      <c r="E181" s="75" t="str">
        <f t="shared" si="31"/>
        <v/>
      </c>
      <c r="F181" s="75" t="str">
        <f t="shared" si="32"/>
        <v/>
      </c>
      <c r="G181" s="75" t="str">
        <f t="shared" si="33"/>
        <v/>
      </c>
      <c r="H181" s="75" t="str">
        <f t="shared" si="34"/>
        <v/>
      </c>
      <c r="I181" s="75" t="str">
        <f t="shared" si="35"/>
        <v/>
      </c>
      <c r="J181" s="74" t="str">
        <f t="shared" ca="1" si="36"/>
        <v/>
      </c>
      <c r="K181" s="74" t="str">
        <f ca="1">INDIRECT(""&amp;$C181&amp;"!e181")</f>
        <v/>
      </c>
      <c r="L181" s="74" t="str">
        <f ca="1">INDIRECT(""&amp;$C181&amp;"!f181")</f>
        <v/>
      </c>
      <c r="M181" s="74" t="str">
        <f ca="1">INDIRECT(""&amp;$C181&amp;"!g181")</f>
        <v/>
      </c>
      <c r="N181" s="74" t="str">
        <f ca="1">INDIRECT(""&amp;$C181&amp;"!h181")</f>
        <v/>
      </c>
      <c r="O181" s="74" t="str">
        <f ca="1">INDIRECT(""&amp;$C181&amp;"!i181")</f>
        <v/>
      </c>
      <c r="P181" s="5" t="str">
        <f t="shared" si="41"/>
        <v>input starter in column D</v>
      </c>
      <c r="Q181" s="5" t="str">
        <f t="shared" si="39"/>
        <v/>
      </c>
      <c r="R181" s="10">
        <v>3</v>
      </c>
      <c r="AJ181" s="33" t="str">
        <f t="shared" ca="1" si="30"/>
        <v>GCW</v>
      </c>
    </row>
    <row r="182" spans="1:36" ht="12.75">
      <c r="A182" s="6">
        <v>9.27</v>
      </c>
      <c r="B182" s="33" t="s">
        <v>32</v>
      </c>
      <c r="C182" s="33" t="s">
        <v>55</v>
      </c>
      <c r="D182" s="74"/>
      <c r="E182" s="75" t="str">
        <f t="shared" si="31"/>
        <v/>
      </c>
      <c r="F182" s="75" t="str">
        <f t="shared" si="32"/>
        <v/>
      </c>
      <c r="G182" s="75" t="str">
        <f t="shared" si="33"/>
        <v/>
      </c>
      <c r="H182" s="75" t="str">
        <f t="shared" si="34"/>
        <v/>
      </c>
      <c r="I182" s="75" t="str">
        <f t="shared" si="35"/>
        <v/>
      </c>
      <c r="J182" s="74" t="str">
        <f t="shared" ca="1" si="36"/>
        <v/>
      </c>
      <c r="K182" s="74" t="str">
        <f ca="1">INDIRECT(""&amp;$C182&amp;"!e182")</f>
        <v/>
      </c>
      <c r="L182" s="74" t="str">
        <f ca="1">INDIRECT(""&amp;$C182&amp;"!f182")</f>
        <v/>
      </c>
      <c r="M182" s="74" t="str">
        <f ca="1">INDIRECT(""&amp;$C182&amp;"!g182")</f>
        <v/>
      </c>
      <c r="N182" s="74" t="str">
        <f ca="1">INDIRECT(""&amp;$C182&amp;"!h182")</f>
        <v/>
      </c>
      <c r="O182" s="74" t="str">
        <f ca="1">INDIRECT(""&amp;$C182&amp;"!i182")</f>
        <v/>
      </c>
      <c r="P182" s="5" t="str">
        <f t="shared" si="41"/>
        <v>input starter in column D</v>
      </c>
      <c r="Q182" s="5" t="str">
        <f t="shared" si="39"/>
        <v/>
      </c>
      <c r="R182" s="10">
        <v>1</v>
      </c>
      <c r="AJ182" s="33" t="str">
        <f t="shared" ca="1" si="30"/>
        <v>GCW</v>
      </c>
    </row>
    <row r="183" spans="1:36" ht="12.75">
      <c r="A183" s="6">
        <v>9.2799999999999994</v>
      </c>
      <c r="B183" s="33" t="s">
        <v>32</v>
      </c>
      <c r="C183" s="33" t="s">
        <v>55</v>
      </c>
      <c r="D183" s="74"/>
      <c r="E183" s="75" t="str">
        <f t="shared" si="31"/>
        <v/>
      </c>
      <c r="F183" s="75" t="str">
        <f t="shared" si="32"/>
        <v/>
      </c>
      <c r="G183" s="75" t="str">
        <f t="shared" si="33"/>
        <v/>
      </c>
      <c r="H183" s="75" t="str">
        <f t="shared" si="34"/>
        <v/>
      </c>
      <c r="I183" s="75" t="str">
        <f t="shared" si="35"/>
        <v/>
      </c>
      <c r="J183" s="74" t="str">
        <f t="shared" ca="1" si="36"/>
        <v/>
      </c>
      <c r="K183" s="74" t="str">
        <f ca="1">INDIRECT(""&amp;$C183&amp;"!e183")</f>
        <v/>
      </c>
      <c r="L183" s="74" t="str">
        <f ca="1">INDIRECT(""&amp;$C183&amp;"!f183")</f>
        <v/>
      </c>
      <c r="M183" s="74" t="str">
        <f ca="1">INDIRECT(""&amp;$C183&amp;"!g183")</f>
        <v/>
      </c>
      <c r="N183" s="74" t="str">
        <f ca="1">INDIRECT(""&amp;$C183&amp;"!h183")</f>
        <v/>
      </c>
      <c r="O183" s="74" t="str">
        <f ca="1">INDIRECT(""&amp;$C183&amp;"!i183")</f>
        <v/>
      </c>
      <c r="P183" s="5" t="str">
        <f t="shared" si="41"/>
        <v>input starter in column D</v>
      </c>
      <c r="Q183" s="5" t="str">
        <f t="shared" si="39"/>
        <v/>
      </c>
      <c r="R183" s="10">
        <v>2</v>
      </c>
      <c r="AJ183" s="33" t="str">
        <f t="shared" ca="1" si="30"/>
        <v>GCW</v>
      </c>
    </row>
    <row r="184" spans="1:36" ht="12.75">
      <c r="A184" s="6">
        <v>9.2899999999999991</v>
      </c>
      <c r="B184" s="33" t="s">
        <v>32</v>
      </c>
      <c r="C184" s="33" t="s">
        <v>55</v>
      </c>
      <c r="D184" s="74"/>
      <c r="E184" s="75" t="str">
        <f t="shared" si="31"/>
        <v/>
      </c>
      <c r="F184" s="75" t="str">
        <f t="shared" si="32"/>
        <v/>
      </c>
      <c r="G184" s="75" t="str">
        <f t="shared" si="33"/>
        <v/>
      </c>
      <c r="H184" s="75" t="str">
        <f t="shared" si="34"/>
        <v/>
      </c>
      <c r="I184" s="75" t="str">
        <f t="shared" si="35"/>
        <v/>
      </c>
      <c r="J184" s="74" t="str">
        <f t="shared" ca="1" si="36"/>
        <v/>
      </c>
      <c r="K184" s="74" t="str">
        <f ca="1">INDIRECT(""&amp;$C184&amp;"!e184")</f>
        <v/>
      </c>
      <c r="L184" s="74" t="str">
        <f ca="1">INDIRECT(""&amp;$C184&amp;"!f184")</f>
        <v/>
      </c>
      <c r="M184" s="74" t="str">
        <f ca="1">INDIRECT(""&amp;$C184&amp;"!g184")</f>
        <v/>
      </c>
      <c r="N184" s="74" t="str">
        <f ca="1">INDIRECT(""&amp;$C184&amp;"!h184")</f>
        <v/>
      </c>
      <c r="O184" s="74" t="str">
        <f ca="1">INDIRECT(""&amp;$C184&amp;"!i184")</f>
        <v/>
      </c>
      <c r="P184" s="5" t="str">
        <f t="shared" si="41"/>
        <v>input starter in column D</v>
      </c>
      <c r="Q184" s="5" t="str">
        <f t="shared" si="39"/>
        <v/>
      </c>
      <c r="R184" s="10">
        <v>4</v>
      </c>
      <c r="AJ184" s="33" t="str">
        <f t="shared" ca="1" si="30"/>
        <v>GCW</v>
      </c>
    </row>
    <row r="185" spans="1:36" ht="12.75">
      <c r="A185" s="6">
        <v>9.3000000000000007</v>
      </c>
      <c r="B185" s="33" t="s">
        <v>32</v>
      </c>
      <c r="C185" s="33" t="s">
        <v>55</v>
      </c>
      <c r="D185" s="74"/>
      <c r="E185" s="75" t="str">
        <f t="shared" si="31"/>
        <v/>
      </c>
      <c r="F185" s="75" t="str">
        <f t="shared" si="32"/>
        <v/>
      </c>
      <c r="G185" s="75" t="str">
        <f t="shared" si="33"/>
        <v/>
      </c>
      <c r="H185" s="75" t="str">
        <f t="shared" si="34"/>
        <v/>
      </c>
      <c r="I185" s="75" t="str">
        <f t="shared" si="35"/>
        <v/>
      </c>
      <c r="J185" s="74" t="str">
        <f t="shared" ca="1" si="36"/>
        <v/>
      </c>
      <c r="K185" s="74" t="str">
        <f ca="1">INDIRECT(""&amp;$C185&amp;"!e185")</f>
        <v/>
      </c>
      <c r="L185" s="74" t="str">
        <f ca="1">INDIRECT(""&amp;$C185&amp;"!f185")</f>
        <v/>
      </c>
      <c r="M185" s="74" t="str">
        <f ca="1">INDIRECT(""&amp;$C185&amp;"!g185")</f>
        <v/>
      </c>
      <c r="N185" s="74" t="str">
        <f ca="1">INDIRECT(""&amp;$C185&amp;"!h185")</f>
        <v/>
      </c>
      <c r="O185" s="74" t="str">
        <f ca="1">INDIRECT(""&amp;$C185&amp;"!i185")</f>
        <v/>
      </c>
      <c r="P185" s="5" t="str">
        <f t="shared" si="41"/>
        <v>input starter in column D</v>
      </c>
      <c r="Q185" s="5" t="str">
        <f t="shared" si="39"/>
        <v/>
      </c>
      <c r="R185" s="10">
        <v>5</v>
      </c>
      <c r="AJ185" s="33" t="str">
        <f t="shared" ca="1" si="30"/>
        <v>GCW</v>
      </c>
    </row>
    <row r="186" spans="1:36">
      <c r="A186" s="6"/>
      <c r="B186" s="6"/>
      <c r="D186" s="4"/>
      <c r="K186" s="1"/>
      <c r="L186" s="9"/>
      <c r="M186" s="8"/>
      <c r="N186" s="8"/>
      <c r="O186" s="8"/>
      <c r="P186" s="5"/>
      <c r="Q186" s="5"/>
      <c r="R186" s="10"/>
      <c r="AJ186" s="2"/>
    </row>
    <row r="187" spans="1:36">
      <c r="A187" s="6"/>
      <c r="B187" s="5">
        <f>COUNTIF(B3:B185,"@")</f>
        <v>81</v>
      </c>
      <c r="D187" s="4"/>
      <c r="E187" s="4"/>
      <c r="F187" s="16">
        <f>SUM(F3:F186)/162</f>
        <v>0</v>
      </c>
      <c r="J187" s="4" t="s">
        <v>25</v>
      </c>
      <c r="K187" s="1"/>
      <c r="L187" s="16">
        <f ca="1">SUM(L3:L186)/162</f>
        <v>0</v>
      </c>
      <c r="M187" s="8"/>
      <c r="N187" s="8"/>
      <c r="O187" s="8"/>
      <c r="P187" s="5">
        <f>COUNTIF(P3:P185,"ok")</f>
        <v>0</v>
      </c>
      <c r="Q187" s="5"/>
      <c r="R187" s="10"/>
      <c r="AJ187" s="2">
        <f ca="1">COUNTIF(AJ3:AJ185,A1)</f>
        <v>162</v>
      </c>
    </row>
    <row r="188" spans="1:36">
      <c r="A188" s="6"/>
      <c r="B188" s="6"/>
      <c r="D188" s="4" t="s">
        <v>27</v>
      </c>
      <c r="E188" s="9">
        <f>COUNTIF(E$3:E$185,"R")</f>
        <v>0</v>
      </c>
      <c r="J188" s="4" t="s">
        <v>27</v>
      </c>
      <c r="K188" s="9">
        <f ca="1">COUNTIF(K$3:K$185,"R")</f>
        <v>0</v>
      </c>
      <c r="L188" s="9"/>
      <c r="M188" s="8"/>
      <c r="N188" s="8"/>
      <c r="O188" s="8"/>
      <c r="P188" s="5"/>
      <c r="Q188" s="5"/>
      <c r="R188" s="10"/>
      <c r="AJ188" s="2"/>
    </row>
    <row r="189" spans="1:36">
      <c r="A189" s="6"/>
      <c r="B189" s="6"/>
      <c r="D189" s="4" t="s">
        <v>26</v>
      </c>
      <c r="E189" s="9">
        <f>COUNTIF(E$3:E$185,"L")</f>
        <v>0</v>
      </c>
      <c r="J189" s="4" t="s">
        <v>26</v>
      </c>
      <c r="K189" s="9">
        <f ca="1">COUNTIF(K$3:K$185,"L")</f>
        <v>0</v>
      </c>
      <c r="L189" s="9"/>
      <c r="M189" s="8"/>
      <c r="N189" s="8"/>
      <c r="O189" s="8"/>
      <c r="P189" s="5"/>
      <c r="Q189" s="5"/>
      <c r="R189" s="10"/>
      <c r="AJ189" s="2"/>
    </row>
    <row r="190" spans="1:36">
      <c r="A190" s="6"/>
      <c r="B190" s="6"/>
      <c r="D190" s="4" t="s">
        <v>28</v>
      </c>
      <c r="E190" s="9">
        <f>COUNTIF(H$3:H$185,"z")</f>
        <v>0</v>
      </c>
      <c r="J190" s="4" t="s">
        <v>28</v>
      </c>
      <c r="K190" s="9">
        <f ca="1">COUNTIF(N$3:N$185,"z")</f>
        <v>0</v>
      </c>
      <c r="P190" s="5"/>
      <c r="Q190" s="5"/>
      <c r="R190" s="10"/>
      <c r="AJ190" s="2"/>
    </row>
    <row r="191" spans="1:36">
      <c r="A191" s="6"/>
      <c r="B191" s="6"/>
      <c r="D191" s="4" t="s">
        <v>29</v>
      </c>
      <c r="E191" s="9">
        <f>COUNTIF(H$3:H$185,"w")</f>
        <v>0</v>
      </c>
      <c r="J191" s="4" t="s">
        <v>29</v>
      </c>
      <c r="K191" s="9">
        <f ca="1">COUNTIF(N$3:N$185,"w")</f>
        <v>0</v>
      </c>
      <c r="P191" s="5"/>
      <c r="Q191" s="5"/>
      <c r="R191" s="10"/>
      <c r="AJ191" s="2"/>
    </row>
    <row r="192" spans="1:36">
      <c r="A192" s="6"/>
      <c r="B192" s="6"/>
      <c r="D192" s="4" t="s">
        <v>30</v>
      </c>
      <c r="E192" s="9">
        <f>COUNTIF(I$3:I$185,"L")</f>
        <v>0</v>
      </c>
      <c r="J192" s="4" t="s">
        <v>30</v>
      </c>
      <c r="K192" s="9">
        <f ca="1">COUNTIF(O$3:O$185,"L")</f>
        <v>0</v>
      </c>
      <c r="P192" s="5"/>
      <c r="Q192" s="5"/>
      <c r="R192" s="10"/>
      <c r="AJ192" s="2"/>
    </row>
    <row r="193" spans="1:36">
      <c r="A193" s="6"/>
      <c r="B193" s="6"/>
      <c r="D193" s="4" t="s">
        <v>31</v>
      </c>
      <c r="E193" s="9">
        <f>COUNTIF(I$3:I$185,"m")</f>
        <v>0</v>
      </c>
      <c r="J193" s="4" t="s">
        <v>31</v>
      </c>
      <c r="K193" s="9">
        <f ca="1">COUNTIF(O$3:O$185,"m")</f>
        <v>0</v>
      </c>
      <c r="P193" s="5"/>
      <c r="Q193" s="5"/>
      <c r="R193" s="10"/>
      <c r="AJ193" s="2"/>
    </row>
    <row r="194" spans="1:36">
      <c r="D194" s="15"/>
      <c r="K194" s="2"/>
      <c r="AJ194" s="2"/>
    </row>
    <row r="195" spans="1:36">
      <c r="D195" s="15"/>
      <c r="K195" s="2"/>
      <c r="AJ195" s="2"/>
    </row>
    <row r="196" spans="1:36">
      <c r="D196" s="4"/>
      <c r="K196" s="2"/>
      <c r="AJ196" s="2"/>
    </row>
    <row r="197" spans="1:36">
      <c r="D197" s="4"/>
      <c r="K197" s="2"/>
      <c r="AJ197" s="2"/>
    </row>
    <row r="198" spans="1:36">
      <c r="D198" s="4"/>
      <c r="K198" s="2"/>
      <c r="AJ198" s="2"/>
    </row>
    <row r="199" spans="1:36">
      <c r="D199" s="4"/>
      <c r="K199" s="2"/>
      <c r="AJ199" s="2"/>
    </row>
    <row r="200" spans="1:36">
      <c r="D200" s="4"/>
      <c r="K200" s="2"/>
      <c r="AJ200" s="2"/>
    </row>
    <row r="201" spans="1:36">
      <c r="D201" s="4"/>
      <c r="K201" s="2"/>
      <c r="AJ201" s="2"/>
    </row>
    <row r="202" spans="1:36">
      <c r="D202" s="4"/>
      <c r="K202" s="2"/>
      <c r="AJ202" s="2"/>
    </row>
    <row r="203" spans="1:36">
      <c r="D203" s="4"/>
      <c r="K203" s="2"/>
      <c r="AJ203" s="2"/>
    </row>
    <row r="204" spans="1:36">
      <c r="D204" s="4"/>
      <c r="AJ204" s="2"/>
    </row>
    <row r="205" spans="1:36">
      <c r="D205" s="4"/>
      <c r="AJ205" s="2"/>
    </row>
    <row r="206" spans="1:36">
      <c r="D206" s="4"/>
      <c r="AJ206" s="2"/>
    </row>
    <row r="207" spans="1:36">
      <c r="D207" s="4"/>
      <c r="AJ207" s="2"/>
    </row>
    <row r="208" spans="1:36">
      <c r="D208" s="4"/>
      <c r="AJ208" s="2"/>
    </row>
    <row r="209" spans="4:36">
      <c r="D209" s="4"/>
      <c r="AJ209" s="2"/>
    </row>
    <row r="210" spans="4:36">
      <c r="AJ210" s="2"/>
    </row>
    <row r="211" spans="4:36">
      <c r="AJ211" s="2"/>
    </row>
    <row r="212" spans="4:36">
      <c r="AJ212" s="2"/>
    </row>
    <row r="213" spans="4:36">
      <c r="AJ213" s="2"/>
    </row>
    <row r="214" spans="4:36">
      <c r="AJ214" s="2"/>
    </row>
    <row r="215" spans="4:36">
      <c r="AJ215" s="2"/>
    </row>
    <row r="216" spans="4:36">
      <c r="AJ216" s="2"/>
    </row>
    <row r="217" spans="4:36">
      <c r="AJ217" s="2"/>
    </row>
  </sheetData>
  <phoneticPr fontId="5" type="noConversion"/>
  <conditionalFormatting sqref="AK3:AK22">
    <cfRule type="cellIs" dxfId="6580" priority="2768" stopIfTrue="1" operator="equal">
      <formula>"must average at least 5 innings per start"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79" priority="2769" stopIfTrue="1" operator="equal">
      <formula>"input starter in column C"</formula>
    </cfRule>
  </conditionalFormatting>
  <conditionalFormatting sqref="Q3:Q6 Q8:Q11 Q13:Q16 Q18:Q21 Q23:Q26 Q28:Q31 Q176:Q185 Q165:Q174 Q157:Q163 Q139:Q155 Q125:Q137 Q84:Q89 Q106:Q123 Q91:Q102 Q71:Q82 Q63:Q69 Q56:Q61 Q49:Q54 Q33:Q40 Q42:Q47">
    <cfRule type="cellIs" dxfId="6578" priority="2770" stopIfTrue="1" operator="equal">
      <formula>"input a different starter in column C"</formula>
    </cfRule>
  </conditionalFormatting>
  <conditionalFormatting sqref="AK23">
    <cfRule type="cellIs" dxfId="6577" priority="2772" stopIfTrue="1" operator="equal">
      <formula>"must have 162 starts"</formula>
    </cfRule>
  </conditionalFormatting>
  <conditionalFormatting sqref="AH3:AH22">
    <cfRule type="cellIs" dxfId="6576" priority="2709" stopIfTrue="1" operator="equal">
      <formula>"must average at least 5 innings per start"</formula>
    </cfRule>
  </conditionalFormatting>
  <conditionalFormatting sqref="AH23">
    <cfRule type="cellIs" dxfId="6575" priority="2708" stopIfTrue="1" operator="equal">
      <formula>"must have 162 starts"</formula>
    </cfRule>
  </conditionalFormatting>
  <conditionalFormatting sqref="AG3:AG22">
    <cfRule type="cellIs" dxfId="6574" priority="2707" stopIfTrue="1" operator="equal">
      <formula>"must average at least 5 innings per start"</formula>
    </cfRule>
  </conditionalFormatting>
  <conditionalFormatting sqref="AG23">
    <cfRule type="cellIs" dxfId="6573" priority="2706" stopIfTrue="1" operator="equal">
      <formula>"must have 162 starts"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72" priority="270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71" priority="270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70" priority="270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9" priority="270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8" priority="270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7" priority="270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6" priority="269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5" priority="269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4" priority="269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3" priority="269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2" priority="269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1" priority="269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60" priority="2693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9" priority="2692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8" priority="2691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7" priority="2690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6" priority="2689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5" priority="2688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4" priority="2687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3" priority="2686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2" priority="2685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1" priority="2684" stopIfTrue="1" operator="equal">
      <formula>"input starter in column C"</formula>
    </cfRule>
  </conditionalFormatting>
  <conditionalFormatting sqref="P3:P6 P8:P11 P13:P16 P18:P21 P23:P26 P28:P31 P33:P40 P42:P47 P56:P61 P49:P54 P63:P69 P71:P82 P91:P102 P84:P89 P106:P123 P125:P137 P139:P155 P176:P185 P165:P174 P157:P163">
    <cfRule type="cellIs" dxfId="6550" priority="2683" stopIfTrue="1" operator="equal">
      <formula>"input starter in column C"</formula>
    </cfRule>
  </conditionalFormatting>
  <conditionalFormatting sqref="P3">
    <cfRule type="cellIs" dxfId="6549" priority="2682" stopIfTrue="1" operator="equal">
      <formula>"input starter in column D"</formula>
    </cfRule>
  </conditionalFormatting>
  <conditionalFormatting sqref="P4">
    <cfRule type="cellIs" dxfId="6548" priority="2681" stopIfTrue="1" operator="equal">
      <formula>"input starter in column D"</formula>
    </cfRule>
  </conditionalFormatting>
  <conditionalFormatting sqref="P5">
    <cfRule type="cellIs" dxfId="6547" priority="2680" stopIfTrue="1" operator="equal">
      <formula>"INPUT STARTER IN COLUMN D"</formula>
    </cfRule>
  </conditionalFormatting>
  <conditionalFormatting sqref="P6">
    <cfRule type="cellIs" dxfId="6546" priority="2679" stopIfTrue="1" operator="equal">
      <formula>"INPUT STARTER IN COLUMN D"</formula>
    </cfRule>
  </conditionalFormatting>
  <conditionalFormatting sqref="P8">
    <cfRule type="cellIs" dxfId="6545" priority="2678" stopIfTrue="1" operator="equal">
      <formula>"INPUT STARTER IN COLUMN D"</formula>
    </cfRule>
  </conditionalFormatting>
  <conditionalFormatting sqref="P9">
    <cfRule type="cellIs" dxfId="6544" priority="2677" stopIfTrue="1" operator="equal">
      <formula>"INPUT STARTER IN COLUMN D"</formula>
    </cfRule>
  </conditionalFormatting>
  <conditionalFormatting sqref="P10">
    <cfRule type="cellIs" dxfId="6543" priority="2676" stopIfTrue="1" operator="equal">
      <formula>"INPUT STARTER IN COLUMN D"</formula>
    </cfRule>
  </conditionalFormatting>
  <conditionalFormatting sqref="P11">
    <cfRule type="cellIs" dxfId="6542" priority="2675" stopIfTrue="1" operator="equal">
      <formula>"INPUT STARTER IN COLUMN D"</formula>
    </cfRule>
  </conditionalFormatting>
  <conditionalFormatting sqref="P13">
    <cfRule type="cellIs" dxfId="6541" priority="2674" stopIfTrue="1" operator="equal">
      <formula>"INPUT STARTER IN COLUMN D"</formula>
    </cfRule>
  </conditionalFormatting>
  <conditionalFormatting sqref="P14">
    <cfRule type="cellIs" dxfId="6540" priority="2673" stopIfTrue="1" operator="equal">
      <formula>"INPUT STARTER IN COLUMN D"</formula>
    </cfRule>
  </conditionalFormatting>
  <conditionalFormatting sqref="P15">
    <cfRule type="cellIs" dxfId="6539" priority="2672" stopIfTrue="1" operator="equal">
      <formula>"INPUT STARTER IN COLUMN D"</formula>
    </cfRule>
  </conditionalFormatting>
  <conditionalFormatting sqref="P16">
    <cfRule type="cellIs" dxfId="6538" priority="2671" stopIfTrue="1" operator="equal">
      <formula>"INPUT STARTER IN COLUMN D"</formula>
    </cfRule>
  </conditionalFormatting>
  <conditionalFormatting sqref="P18">
    <cfRule type="cellIs" dxfId="6537" priority="2670" stopIfTrue="1" operator="equal">
      <formula>"INPUT STARTER IN COLUMN D"</formula>
    </cfRule>
  </conditionalFormatting>
  <conditionalFormatting sqref="P19">
    <cfRule type="cellIs" dxfId="6536" priority="2669" stopIfTrue="1" operator="equal">
      <formula>"INPUT STARTER IN COLUMN D"</formula>
    </cfRule>
  </conditionalFormatting>
  <conditionalFormatting sqref="P20">
    <cfRule type="cellIs" dxfId="6535" priority="2668" stopIfTrue="1" operator="equal">
      <formula>"INPUT STARTER IN COLUMN D"</formula>
    </cfRule>
  </conditionalFormatting>
  <conditionalFormatting sqref="P21">
    <cfRule type="cellIs" dxfId="6534" priority="2667" stopIfTrue="1" operator="equal">
      <formula>"INPUT STARTER IN COLUMN D"</formula>
    </cfRule>
  </conditionalFormatting>
  <conditionalFormatting sqref="P23">
    <cfRule type="cellIs" dxfId="6533" priority="2666" stopIfTrue="1" operator="equal">
      <formula>"INPUT STARTER IN COLUMN D"</formula>
    </cfRule>
  </conditionalFormatting>
  <conditionalFormatting sqref="P24">
    <cfRule type="cellIs" dxfId="6532" priority="2665" stopIfTrue="1" operator="equal">
      <formula>"INPUT STARTER IN COLUMN D"</formula>
    </cfRule>
  </conditionalFormatting>
  <conditionalFormatting sqref="P25">
    <cfRule type="cellIs" dxfId="6531" priority="2664" stopIfTrue="1" operator="equal">
      <formula>"INPUT STARTER IN COLUMN D"</formula>
    </cfRule>
  </conditionalFormatting>
  <conditionalFormatting sqref="P26">
    <cfRule type="cellIs" dxfId="6530" priority="2663" stopIfTrue="1" operator="equal">
      <formula>"INPUT STARTER IN COLUMN D"</formula>
    </cfRule>
  </conditionalFormatting>
  <conditionalFormatting sqref="P28">
    <cfRule type="cellIs" dxfId="6529" priority="2662" stopIfTrue="1" operator="equal">
      <formula>"INPUT STARTER IN COLUMN D"</formula>
    </cfRule>
  </conditionalFormatting>
  <conditionalFormatting sqref="P29">
    <cfRule type="cellIs" dxfId="6528" priority="2661" stopIfTrue="1" operator="equal">
      <formula>"INPUT STARTER IN COLUMN D"</formula>
    </cfRule>
  </conditionalFormatting>
  <conditionalFormatting sqref="P30">
    <cfRule type="cellIs" dxfId="6527" priority="2660" stopIfTrue="1" operator="equal">
      <formula>"INPUT STARTER IN COLUMN D"</formula>
    </cfRule>
  </conditionalFormatting>
  <conditionalFormatting sqref="P31">
    <cfRule type="cellIs" dxfId="6526" priority="2659" stopIfTrue="1" operator="equal">
      <formula>"INPUT STARTER IN COLUMN D"</formula>
    </cfRule>
  </conditionalFormatting>
  <conditionalFormatting sqref="P33">
    <cfRule type="cellIs" dxfId="6525" priority="2658" stopIfTrue="1" operator="equal">
      <formula>"INPUT STARTER IN COLUMN D"</formula>
    </cfRule>
  </conditionalFormatting>
  <conditionalFormatting sqref="P34">
    <cfRule type="cellIs" dxfId="6524" priority="2657" stopIfTrue="1" operator="equal">
      <formula>"INPUT STARTER IN COLUMN D"</formula>
    </cfRule>
  </conditionalFormatting>
  <conditionalFormatting sqref="P35">
    <cfRule type="cellIs" dxfId="6523" priority="2656" stopIfTrue="1" operator="equal">
      <formula>"INPUT STARTER IN COLUMN D"</formula>
    </cfRule>
  </conditionalFormatting>
  <conditionalFormatting sqref="P36">
    <cfRule type="cellIs" dxfId="6522" priority="2655" stopIfTrue="1" operator="equal">
      <formula>"INPUT STARTER IN COLUMN D"</formula>
    </cfRule>
  </conditionalFormatting>
  <conditionalFormatting sqref="P37">
    <cfRule type="cellIs" dxfId="6521" priority="2654" stopIfTrue="1" operator="equal">
      <formula>"INPUT STARTER IN COLUMN D"</formula>
    </cfRule>
  </conditionalFormatting>
  <conditionalFormatting sqref="P38">
    <cfRule type="cellIs" dxfId="6520" priority="2653" stopIfTrue="1" operator="equal">
      <formula>"INPUT STARTER IN COLUMN D"</formula>
    </cfRule>
  </conditionalFormatting>
  <conditionalFormatting sqref="P39">
    <cfRule type="cellIs" dxfId="6519" priority="2652" stopIfTrue="1" operator="equal">
      <formula>"INPUT STARTER IN COLUMN D"</formula>
    </cfRule>
  </conditionalFormatting>
  <conditionalFormatting sqref="P40">
    <cfRule type="cellIs" dxfId="6518" priority="2651" stopIfTrue="1" operator="equal">
      <formula>"INPUT STARTER IN COLUMN D"</formula>
    </cfRule>
  </conditionalFormatting>
  <conditionalFormatting sqref="P42">
    <cfRule type="cellIs" dxfId="6517" priority="2650" stopIfTrue="1" operator="equal">
      <formula>"INPUT STARTER IN COLUMN D"</formula>
    </cfRule>
  </conditionalFormatting>
  <conditionalFormatting sqref="P43">
    <cfRule type="cellIs" dxfId="6516" priority="2649" stopIfTrue="1" operator="equal">
      <formula>"INPUT STARTER IN COLUMN D"</formula>
    </cfRule>
  </conditionalFormatting>
  <conditionalFormatting sqref="P44">
    <cfRule type="cellIs" dxfId="6515" priority="2648" stopIfTrue="1" operator="equal">
      <formula>"INPUT STARTER IN COLUMN D"</formula>
    </cfRule>
  </conditionalFormatting>
  <conditionalFormatting sqref="P45">
    <cfRule type="cellIs" dxfId="6514" priority="2647" stopIfTrue="1" operator="equal">
      <formula>"INPUT STARTER IN COLUMN D"</formula>
    </cfRule>
  </conditionalFormatting>
  <conditionalFormatting sqref="P46">
    <cfRule type="cellIs" dxfId="6513" priority="2646" stopIfTrue="1" operator="equal">
      <formula>"INPUT STARTER IN COLUMN D"</formula>
    </cfRule>
  </conditionalFormatting>
  <conditionalFormatting sqref="P47">
    <cfRule type="cellIs" dxfId="6512" priority="2645" stopIfTrue="1" operator="equal">
      <formula>"INPUT STARTER IN COLUMN D"</formula>
    </cfRule>
  </conditionalFormatting>
  <conditionalFormatting sqref="P49">
    <cfRule type="cellIs" dxfId="6511" priority="2644" stopIfTrue="1" operator="equal">
      <formula>"INPUT STARTER IN COLUMN D"</formula>
    </cfRule>
  </conditionalFormatting>
  <conditionalFormatting sqref="P50">
    <cfRule type="cellIs" dxfId="6510" priority="2643" stopIfTrue="1" operator="equal">
      <formula>"INPUT STARTER IN COLUMN D"</formula>
    </cfRule>
  </conditionalFormatting>
  <conditionalFormatting sqref="P51">
    <cfRule type="cellIs" dxfId="6509" priority="2642" stopIfTrue="1" operator="equal">
      <formula>"INPUT STARTER IN COLUMN D"</formula>
    </cfRule>
  </conditionalFormatting>
  <conditionalFormatting sqref="P52">
    <cfRule type="cellIs" dxfId="6508" priority="2641" stopIfTrue="1" operator="equal">
      <formula>"INPUT STARTER IN COLUMN D"</formula>
    </cfRule>
  </conditionalFormatting>
  <conditionalFormatting sqref="P53">
    <cfRule type="cellIs" dxfId="6507" priority="2640" stopIfTrue="1" operator="equal">
      <formula>"INPUT STARTER IN COLUMN D"</formula>
    </cfRule>
  </conditionalFormatting>
  <conditionalFormatting sqref="P54">
    <cfRule type="cellIs" dxfId="6506" priority="2639" stopIfTrue="1" operator="equal">
      <formula>"INPUT STARTER IN COLUMN D"</formula>
    </cfRule>
  </conditionalFormatting>
  <conditionalFormatting sqref="P56">
    <cfRule type="cellIs" dxfId="6505" priority="2638" stopIfTrue="1" operator="equal">
      <formula>"INPUT STARTER IN COLUMN D"</formula>
    </cfRule>
  </conditionalFormatting>
  <conditionalFormatting sqref="P57">
    <cfRule type="cellIs" dxfId="6504" priority="2637" stopIfTrue="1" operator="equal">
      <formula>"INPUT STARTER IN COLUMN D"</formula>
    </cfRule>
  </conditionalFormatting>
  <conditionalFormatting sqref="P58">
    <cfRule type="cellIs" dxfId="6503" priority="2636" stopIfTrue="1" operator="equal">
      <formula>"INPUT STARTER IN COLUMN D"</formula>
    </cfRule>
  </conditionalFormatting>
  <conditionalFormatting sqref="P59">
    <cfRule type="cellIs" dxfId="6502" priority="2635" stopIfTrue="1" operator="equal">
      <formula>"INPUT STARTER IN COLUMN D"</formula>
    </cfRule>
  </conditionalFormatting>
  <conditionalFormatting sqref="P60">
    <cfRule type="cellIs" dxfId="6501" priority="2634" stopIfTrue="1" operator="equal">
      <formula>"INPUT STARTER IN COLUMN D"</formula>
    </cfRule>
  </conditionalFormatting>
  <conditionalFormatting sqref="P61">
    <cfRule type="cellIs" dxfId="6500" priority="2633" stopIfTrue="1" operator="equal">
      <formula>"INPUT STARTER IN COLUMN D"</formula>
    </cfRule>
  </conditionalFormatting>
  <conditionalFormatting sqref="P63">
    <cfRule type="cellIs" dxfId="6499" priority="2632" stopIfTrue="1" operator="equal">
      <formula>"INPUT STARTER IN COLUMN D"</formula>
    </cfRule>
  </conditionalFormatting>
  <conditionalFormatting sqref="P64">
    <cfRule type="cellIs" dxfId="6498" priority="2631" stopIfTrue="1" operator="equal">
      <formula>"INPUT STARTER IN COLUMN D"</formula>
    </cfRule>
  </conditionalFormatting>
  <conditionalFormatting sqref="P65">
    <cfRule type="cellIs" dxfId="6497" priority="2630" stopIfTrue="1" operator="equal">
      <formula>"INPUT STARTER IN COLUMN D"</formula>
    </cfRule>
  </conditionalFormatting>
  <conditionalFormatting sqref="P66">
    <cfRule type="cellIs" dxfId="6496" priority="2629" stopIfTrue="1" operator="equal">
      <formula>"INPUT STARTER IN COLUMN D"</formula>
    </cfRule>
  </conditionalFormatting>
  <conditionalFormatting sqref="P67">
    <cfRule type="cellIs" dxfId="6495" priority="2628" stopIfTrue="1" operator="equal">
      <formula>"INPUT STARTER IN COLUMN D"</formula>
    </cfRule>
  </conditionalFormatting>
  <conditionalFormatting sqref="P68">
    <cfRule type="cellIs" dxfId="6494" priority="2627" stopIfTrue="1" operator="equal">
      <formula>"INPUT STARTER IN COLUMN D"</formula>
    </cfRule>
  </conditionalFormatting>
  <conditionalFormatting sqref="P69">
    <cfRule type="cellIs" dxfId="6493" priority="2626" stopIfTrue="1" operator="equal">
      <formula>"INPUT STARTER IN COLUMN D"</formula>
    </cfRule>
  </conditionalFormatting>
  <conditionalFormatting sqref="P71">
    <cfRule type="cellIs" dxfId="6492" priority="2625" stopIfTrue="1" operator="equal">
      <formula>"INPUT STARTER IN COLUMN D"</formula>
    </cfRule>
  </conditionalFormatting>
  <conditionalFormatting sqref="P72">
    <cfRule type="cellIs" dxfId="6491" priority="2624" stopIfTrue="1" operator="equal">
      <formula>"INPUT STARTER IN COLUMN D"</formula>
    </cfRule>
  </conditionalFormatting>
  <conditionalFormatting sqref="P73">
    <cfRule type="cellIs" dxfId="6490" priority="2623" stopIfTrue="1" operator="equal">
      <formula>"INPUT STARTER IN COLUMN D"</formula>
    </cfRule>
  </conditionalFormatting>
  <conditionalFormatting sqref="P74">
    <cfRule type="cellIs" dxfId="6489" priority="2622" stopIfTrue="1" operator="equal">
      <formula>"INPUT STARTER IN COLUMN D"</formula>
    </cfRule>
  </conditionalFormatting>
  <conditionalFormatting sqref="P75">
    <cfRule type="cellIs" dxfId="6488" priority="2621" stopIfTrue="1" operator="equal">
      <formula>"INPUT STARTER IN COLUMN D"</formula>
    </cfRule>
  </conditionalFormatting>
  <conditionalFormatting sqref="P76">
    <cfRule type="cellIs" dxfId="6487" priority="2620" stopIfTrue="1" operator="equal">
      <formula>"INPUT STARTER IN COLUMN D"</formula>
    </cfRule>
  </conditionalFormatting>
  <conditionalFormatting sqref="P77">
    <cfRule type="cellIs" dxfId="6486" priority="2619" stopIfTrue="1" operator="equal">
      <formula>"INPUT STARTER IN COLUMN D"</formula>
    </cfRule>
  </conditionalFormatting>
  <conditionalFormatting sqref="P78">
    <cfRule type="cellIs" dxfId="6485" priority="2618" stopIfTrue="1" operator="equal">
      <formula>"INPUT STARTER IN COLUMN D"</formula>
    </cfRule>
  </conditionalFormatting>
  <conditionalFormatting sqref="P79">
    <cfRule type="cellIs" dxfId="6484" priority="2617" stopIfTrue="1" operator="equal">
      <formula>"INPUT STARTER IN COLUMN D"</formula>
    </cfRule>
  </conditionalFormatting>
  <conditionalFormatting sqref="P80">
    <cfRule type="cellIs" dxfId="6483" priority="2616" stopIfTrue="1" operator="equal">
      <formula>"INPUT STARTER IN COLUMN D"</formula>
    </cfRule>
  </conditionalFormatting>
  <conditionalFormatting sqref="P81">
    <cfRule type="cellIs" dxfId="6482" priority="2615" stopIfTrue="1" operator="equal">
      <formula>"INPUT STARTER IN COLUMN D"</formula>
    </cfRule>
  </conditionalFormatting>
  <conditionalFormatting sqref="P82">
    <cfRule type="cellIs" dxfId="6481" priority="2614" stopIfTrue="1" operator="equal">
      <formula>"INPUT STARTER IN COLUMN D"</formula>
    </cfRule>
  </conditionalFormatting>
  <conditionalFormatting sqref="P84">
    <cfRule type="cellIs" dxfId="6480" priority="2613" stopIfTrue="1" operator="equal">
      <formula>"INPUT STARTER IN COLUMN D"</formula>
    </cfRule>
  </conditionalFormatting>
  <conditionalFormatting sqref="P85">
    <cfRule type="cellIs" dxfId="6479" priority="2612" stopIfTrue="1" operator="equal">
      <formula>"INPUT STARTER IN COLUMN D"</formula>
    </cfRule>
  </conditionalFormatting>
  <conditionalFormatting sqref="P86">
    <cfRule type="cellIs" dxfId="6478" priority="2611" stopIfTrue="1" operator="equal">
      <formula>"INPUT STARTER IN COLUMN D"</formula>
    </cfRule>
  </conditionalFormatting>
  <conditionalFormatting sqref="P87">
    <cfRule type="cellIs" dxfId="6477" priority="2610" stopIfTrue="1" operator="equal">
      <formula>"INPUT STARTER IN COLUMN D"</formula>
    </cfRule>
  </conditionalFormatting>
  <conditionalFormatting sqref="P88">
    <cfRule type="cellIs" dxfId="6476" priority="2609" stopIfTrue="1" operator="equal">
      <formula>"INPUT STARTER IN COLUMN D"</formula>
    </cfRule>
  </conditionalFormatting>
  <conditionalFormatting sqref="P89">
    <cfRule type="cellIs" dxfId="6475" priority="2608" stopIfTrue="1" operator="equal">
      <formula>"INPUT STARTER IN COLUMN D"</formula>
    </cfRule>
  </conditionalFormatting>
  <conditionalFormatting sqref="P91">
    <cfRule type="cellIs" dxfId="6474" priority="2607" stopIfTrue="1" operator="equal">
      <formula>"INPUT STARTER IN COLUMN D"</formula>
    </cfRule>
  </conditionalFormatting>
  <conditionalFormatting sqref="P92">
    <cfRule type="cellIs" dxfId="6473" priority="2606" stopIfTrue="1" operator="equal">
      <formula>"INPUT STARTER IN COLUMN D"</formula>
    </cfRule>
  </conditionalFormatting>
  <conditionalFormatting sqref="P93">
    <cfRule type="cellIs" dxfId="6472" priority="2605" stopIfTrue="1" operator="equal">
      <formula>"INPUT STARTER IN COLUMN D"</formula>
    </cfRule>
  </conditionalFormatting>
  <conditionalFormatting sqref="P94">
    <cfRule type="cellIs" dxfId="6471" priority="2604" stopIfTrue="1" operator="equal">
      <formula>"INPUT STARTER IN COLUMN D"</formula>
    </cfRule>
  </conditionalFormatting>
  <conditionalFormatting sqref="P95">
    <cfRule type="cellIs" dxfId="6470" priority="2603" stopIfTrue="1" operator="equal">
      <formula>"INPUT STARTER IN COLUMN D"</formula>
    </cfRule>
  </conditionalFormatting>
  <conditionalFormatting sqref="P96">
    <cfRule type="cellIs" dxfId="6469" priority="2602" stopIfTrue="1" operator="equal">
      <formula>"INPUT STARTER IN COLUMN D"</formula>
    </cfRule>
  </conditionalFormatting>
  <conditionalFormatting sqref="P97">
    <cfRule type="cellIs" dxfId="6468" priority="2601" stopIfTrue="1" operator="equal">
      <formula>"INPUT STARTER IN COLUMN D"</formula>
    </cfRule>
  </conditionalFormatting>
  <conditionalFormatting sqref="P98">
    <cfRule type="cellIs" dxfId="6467" priority="2600" stopIfTrue="1" operator="equal">
      <formula>"INPUT STARTER IN COLUMN D"</formula>
    </cfRule>
  </conditionalFormatting>
  <conditionalFormatting sqref="P99">
    <cfRule type="cellIs" dxfId="6466" priority="2599" stopIfTrue="1" operator="equal">
      <formula>"INPUT STARTER IN COLUMN D"</formula>
    </cfRule>
  </conditionalFormatting>
  <conditionalFormatting sqref="P100">
    <cfRule type="cellIs" dxfId="6465" priority="2598" stopIfTrue="1" operator="equal">
      <formula>"INPUT STARTER IN COLUMN D"</formula>
    </cfRule>
  </conditionalFormatting>
  <conditionalFormatting sqref="P101">
    <cfRule type="cellIs" dxfId="6464" priority="2597" stopIfTrue="1" operator="equal">
      <formula>"INPUT STARTER IN COLUMN D"</formula>
    </cfRule>
  </conditionalFormatting>
  <conditionalFormatting sqref="P102">
    <cfRule type="cellIs" dxfId="6463" priority="2596" stopIfTrue="1" operator="equal">
      <formula>"INPUT STARTER IN COLUMN D"</formula>
    </cfRule>
  </conditionalFormatting>
  <conditionalFormatting sqref="P106">
    <cfRule type="cellIs" dxfId="6462" priority="2595" stopIfTrue="1" operator="equal">
      <formula>"INPUT STARTER IN COLUMN D"</formula>
    </cfRule>
  </conditionalFormatting>
  <conditionalFormatting sqref="P107">
    <cfRule type="cellIs" dxfId="6461" priority="2594" stopIfTrue="1" operator="equal">
      <formula>"INPUT STARTER IN COLUMN D"</formula>
    </cfRule>
  </conditionalFormatting>
  <conditionalFormatting sqref="P108">
    <cfRule type="cellIs" dxfId="6460" priority="2593" stopIfTrue="1" operator="equal">
      <formula>"INPUT STARTER IN COLUMN D"</formula>
    </cfRule>
  </conditionalFormatting>
  <conditionalFormatting sqref="P109">
    <cfRule type="cellIs" dxfId="6459" priority="2592" stopIfTrue="1" operator="equal">
      <formula>"INPUT STARTER IN COLUMN D"</formula>
    </cfRule>
  </conditionalFormatting>
  <conditionalFormatting sqref="P110">
    <cfRule type="cellIs" dxfId="6458" priority="2591" stopIfTrue="1" operator="equal">
      <formula>"INPUT STARTER IN COLUMN D"</formula>
    </cfRule>
  </conditionalFormatting>
  <conditionalFormatting sqref="P111">
    <cfRule type="cellIs" dxfId="6457" priority="2590" stopIfTrue="1" operator="equal">
      <formula>"INPUT STARTER IN COLUMN D"</formula>
    </cfRule>
  </conditionalFormatting>
  <conditionalFormatting sqref="P112">
    <cfRule type="cellIs" dxfId="6456" priority="2589" stopIfTrue="1" operator="equal">
      <formula>"INPUT STARTER IN COLUMN D"</formula>
    </cfRule>
  </conditionalFormatting>
  <conditionalFormatting sqref="P113">
    <cfRule type="cellIs" dxfId="6455" priority="2588" stopIfTrue="1" operator="equal">
      <formula>"INPUT STARTER IN COLUMN D"</formula>
    </cfRule>
  </conditionalFormatting>
  <conditionalFormatting sqref="P114">
    <cfRule type="cellIs" dxfId="6454" priority="2587" stopIfTrue="1" operator="equal">
      <formula>"INPUT STARTER IN COLUMN D"</formula>
    </cfRule>
  </conditionalFormatting>
  <conditionalFormatting sqref="P115">
    <cfRule type="cellIs" dxfId="6453" priority="2586" stopIfTrue="1" operator="equal">
      <formula>"INPUT STARTER IN COLUMN D"</formula>
    </cfRule>
  </conditionalFormatting>
  <conditionalFormatting sqref="P116">
    <cfRule type="cellIs" dxfId="6452" priority="2585" stopIfTrue="1" operator="equal">
      <formula>"INPUT STARTER IN COLUMN D"</formula>
    </cfRule>
  </conditionalFormatting>
  <conditionalFormatting sqref="P117">
    <cfRule type="cellIs" dxfId="6451" priority="2584" stopIfTrue="1" operator="equal">
      <formula>"INPUT STARTER IN COLUMN D"</formula>
    </cfRule>
  </conditionalFormatting>
  <conditionalFormatting sqref="P118">
    <cfRule type="cellIs" dxfId="6450" priority="2583" stopIfTrue="1" operator="equal">
      <formula>"INPUT STARTER IN COLUMN D"</formula>
    </cfRule>
  </conditionalFormatting>
  <conditionalFormatting sqref="P119">
    <cfRule type="cellIs" dxfId="6449" priority="2582" stopIfTrue="1" operator="equal">
      <formula>"INPUT STARTER IN COLUMN D"</formula>
    </cfRule>
  </conditionalFormatting>
  <conditionalFormatting sqref="P120">
    <cfRule type="cellIs" dxfId="6448" priority="2581" stopIfTrue="1" operator="equal">
      <formula>"INPUT STARTER IN COLUMN D"</formula>
    </cfRule>
  </conditionalFormatting>
  <conditionalFormatting sqref="P121">
    <cfRule type="cellIs" dxfId="6447" priority="2580" stopIfTrue="1" operator="equal">
      <formula>"INPUT STARTER IN COLUMN D"</formula>
    </cfRule>
  </conditionalFormatting>
  <conditionalFormatting sqref="P122">
    <cfRule type="cellIs" dxfId="6446" priority="2579" stopIfTrue="1" operator="equal">
      <formula>"INPUT STARTER IN COLUMN D"</formula>
    </cfRule>
  </conditionalFormatting>
  <conditionalFormatting sqref="P123">
    <cfRule type="cellIs" dxfId="6445" priority="2578" stopIfTrue="1" operator="equal">
      <formula>"INPUT STARTER IN COLUMN D"</formula>
    </cfRule>
  </conditionalFormatting>
  <conditionalFormatting sqref="P125">
    <cfRule type="cellIs" dxfId="6444" priority="2577" stopIfTrue="1" operator="equal">
      <formula>"INPUT STARTER IN COLUMN D"</formula>
    </cfRule>
  </conditionalFormatting>
  <conditionalFormatting sqref="P126">
    <cfRule type="cellIs" dxfId="6443" priority="2576" stopIfTrue="1" operator="equal">
      <formula>"INPUT STARTER IN COLUMN D"</formula>
    </cfRule>
  </conditionalFormatting>
  <conditionalFormatting sqref="P127">
    <cfRule type="cellIs" dxfId="6442" priority="2575" stopIfTrue="1" operator="equal">
      <formula>"INPUT STARTER IN COLUMN D"</formula>
    </cfRule>
  </conditionalFormatting>
  <conditionalFormatting sqref="P128">
    <cfRule type="cellIs" dxfId="6441" priority="2574" stopIfTrue="1" operator="equal">
      <formula>"INPUT STARTER IN COLUMN D"</formula>
    </cfRule>
  </conditionalFormatting>
  <conditionalFormatting sqref="P129">
    <cfRule type="cellIs" dxfId="6440" priority="2573" stopIfTrue="1" operator="equal">
      <formula>"INPUT STARTER IN COLUMN D"</formula>
    </cfRule>
  </conditionalFormatting>
  <conditionalFormatting sqref="P130">
    <cfRule type="cellIs" dxfId="6439" priority="2572" stopIfTrue="1" operator="equal">
      <formula>"INPUT STARTER IN COLUMN D"</formula>
    </cfRule>
  </conditionalFormatting>
  <conditionalFormatting sqref="P131">
    <cfRule type="cellIs" dxfId="6438" priority="2571" stopIfTrue="1" operator="equal">
      <formula>"INPUT STARTER IN COLUMN D"</formula>
    </cfRule>
  </conditionalFormatting>
  <conditionalFormatting sqref="P132">
    <cfRule type="cellIs" dxfId="6437" priority="2570" stopIfTrue="1" operator="equal">
      <formula>"INPUT STARTER IN COLUMN D"</formula>
    </cfRule>
  </conditionalFormatting>
  <conditionalFormatting sqref="P133">
    <cfRule type="cellIs" dxfId="6436" priority="2569" stopIfTrue="1" operator="equal">
      <formula>"INPUT STARTER IN COLUMN D"</formula>
    </cfRule>
  </conditionalFormatting>
  <conditionalFormatting sqref="P134">
    <cfRule type="cellIs" dxfId="6435" priority="2568" stopIfTrue="1" operator="equal">
      <formula>"INPUT STARTER IN COLUMN D"</formula>
    </cfRule>
  </conditionalFormatting>
  <conditionalFormatting sqref="P135">
    <cfRule type="cellIs" dxfId="6434" priority="2567" stopIfTrue="1" operator="equal">
      <formula>"INPUT STARTER IN COLUMN D"</formula>
    </cfRule>
  </conditionalFormatting>
  <conditionalFormatting sqref="P136">
    <cfRule type="cellIs" dxfId="6433" priority="2566" stopIfTrue="1" operator="equal">
      <formula>"INPUT STARTER IN COLUMN D"</formula>
    </cfRule>
  </conditionalFormatting>
  <conditionalFormatting sqref="P137">
    <cfRule type="cellIs" dxfId="6432" priority="2565" stopIfTrue="1" operator="equal">
      <formula>"INPUT STARTER IN COLUMN D"</formula>
    </cfRule>
  </conditionalFormatting>
  <conditionalFormatting sqref="P139">
    <cfRule type="cellIs" dxfId="6431" priority="2564" stopIfTrue="1" operator="equal">
      <formula>"INPUT STARTER IN COLUMN D"</formula>
    </cfRule>
  </conditionalFormatting>
  <conditionalFormatting sqref="P140">
    <cfRule type="cellIs" dxfId="6430" priority="2563" stopIfTrue="1" operator="equal">
      <formula>"INPUT STARTER IN COLUMN D"</formula>
    </cfRule>
  </conditionalFormatting>
  <conditionalFormatting sqref="P141">
    <cfRule type="cellIs" dxfId="6429" priority="2562" stopIfTrue="1" operator="equal">
      <formula>"INPUT STARTER IN COLUMN D"</formula>
    </cfRule>
  </conditionalFormatting>
  <conditionalFormatting sqref="P142">
    <cfRule type="cellIs" dxfId="6428" priority="2561" stopIfTrue="1" operator="equal">
      <formula>"INPUT STARTER IN COLUMN D"</formula>
    </cfRule>
  </conditionalFormatting>
  <conditionalFormatting sqref="P143">
    <cfRule type="cellIs" dxfId="6427" priority="2560" stopIfTrue="1" operator="equal">
      <formula>"INPUT STARTER IN COLUMN D"</formula>
    </cfRule>
  </conditionalFormatting>
  <conditionalFormatting sqref="P144">
    <cfRule type="cellIs" dxfId="6426" priority="2559" stopIfTrue="1" operator="equal">
      <formula>"INPUT STARTER IN COLUMN D"</formula>
    </cfRule>
  </conditionalFormatting>
  <conditionalFormatting sqref="P145">
    <cfRule type="cellIs" dxfId="6425" priority="2558" stopIfTrue="1" operator="equal">
      <formula>"INPUT STARTER IN COLUMN D"</formula>
    </cfRule>
  </conditionalFormatting>
  <conditionalFormatting sqref="P146">
    <cfRule type="cellIs" dxfId="6424" priority="2557" stopIfTrue="1" operator="equal">
      <formula>"INPUT STARTER IN COLUMN D"</formula>
    </cfRule>
  </conditionalFormatting>
  <conditionalFormatting sqref="P147">
    <cfRule type="cellIs" dxfId="6423" priority="2556" stopIfTrue="1" operator="equal">
      <formula>"INPUT STARTER IN COLUMN D"</formula>
    </cfRule>
  </conditionalFormatting>
  <conditionalFormatting sqref="P148">
    <cfRule type="cellIs" dxfId="6422" priority="2555" stopIfTrue="1" operator="equal">
      <formula>"INPUT STARTER IN COLUMN D"</formula>
    </cfRule>
  </conditionalFormatting>
  <conditionalFormatting sqref="P149">
    <cfRule type="cellIs" dxfId="6421" priority="2554" stopIfTrue="1" operator="equal">
      <formula>"INPUT STARTER IN COLUMN D"</formula>
    </cfRule>
  </conditionalFormatting>
  <conditionalFormatting sqref="P150">
    <cfRule type="cellIs" dxfId="6420" priority="2553" stopIfTrue="1" operator="equal">
      <formula>"INPUT STARTER IN COLUMN D"</formula>
    </cfRule>
  </conditionalFormatting>
  <conditionalFormatting sqref="P151">
    <cfRule type="cellIs" dxfId="6419" priority="2552" stopIfTrue="1" operator="equal">
      <formula>"INPUT STARTER IN COLUMN D"</formula>
    </cfRule>
  </conditionalFormatting>
  <conditionalFormatting sqref="P152">
    <cfRule type="cellIs" dxfId="6418" priority="2551" stopIfTrue="1" operator="equal">
      <formula>"INPUT STARTER IN COLUMN D"</formula>
    </cfRule>
  </conditionalFormatting>
  <conditionalFormatting sqref="P153">
    <cfRule type="cellIs" dxfId="6417" priority="2550" stopIfTrue="1" operator="equal">
      <formula>"INPUT STARTER IN COLUMN D"</formula>
    </cfRule>
  </conditionalFormatting>
  <conditionalFormatting sqref="P154">
    <cfRule type="cellIs" dxfId="6416" priority="2549" stopIfTrue="1" operator="equal">
      <formula>"INPUT STARTER IN COLUMN D"</formula>
    </cfRule>
  </conditionalFormatting>
  <conditionalFormatting sqref="P155">
    <cfRule type="cellIs" dxfId="6415" priority="2548" stopIfTrue="1" operator="equal">
      <formula>"INPUT STARTER IN COLUMN D"</formula>
    </cfRule>
  </conditionalFormatting>
  <conditionalFormatting sqref="P157">
    <cfRule type="cellIs" dxfId="6414" priority="2547" stopIfTrue="1" operator="equal">
      <formula>"INPUT STARTER IN COLUMN D"</formula>
    </cfRule>
  </conditionalFormatting>
  <conditionalFormatting sqref="P158">
    <cfRule type="cellIs" dxfId="6413" priority="2546" stopIfTrue="1" operator="equal">
      <formula>"INPUT STARTER IN COLUMN D"</formula>
    </cfRule>
  </conditionalFormatting>
  <conditionalFormatting sqref="P159">
    <cfRule type="cellIs" dxfId="6412" priority="2545" stopIfTrue="1" operator="equal">
      <formula>"INPUT STARTER IN COLUMN D"</formula>
    </cfRule>
  </conditionalFormatting>
  <conditionalFormatting sqref="P160">
    <cfRule type="cellIs" dxfId="6411" priority="2544" stopIfTrue="1" operator="equal">
      <formula>"INPUT STARTER IN COLUMN D"</formula>
    </cfRule>
  </conditionalFormatting>
  <conditionalFormatting sqref="P161">
    <cfRule type="cellIs" dxfId="6410" priority="2543" stopIfTrue="1" operator="equal">
      <formula>"INPUT STARTER IN COLUMN D"</formula>
    </cfRule>
  </conditionalFormatting>
  <conditionalFormatting sqref="P162">
    <cfRule type="cellIs" dxfId="6409" priority="2542" stopIfTrue="1" operator="equal">
      <formula>"INPUT STARTER IN COLUMN D"</formula>
    </cfRule>
  </conditionalFormatting>
  <conditionalFormatting sqref="P163">
    <cfRule type="cellIs" dxfId="6408" priority="2541" stopIfTrue="1" operator="equal">
      <formula>"INPUT STARTER IN COLUMN D"</formula>
    </cfRule>
  </conditionalFormatting>
  <conditionalFormatting sqref="P165">
    <cfRule type="cellIs" dxfId="6407" priority="2540" stopIfTrue="1" operator="equal">
      <formula>"INPUT STARTER IN COLUMN D"</formula>
    </cfRule>
  </conditionalFormatting>
  <conditionalFormatting sqref="P166">
    <cfRule type="cellIs" dxfId="6406" priority="2539" stopIfTrue="1" operator="equal">
      <formula>"INPUT STARTER IN COLUMN D"</formula>
    </cfRule>
  </conditionalFormatting>
  <conditionalFormatting sqref="P167">
    <cfRule type="cellIs" dxfId="6405" priority="2538" stopIfTrue="1" operator="equal">
      <formula>"INPUT STARTER IN COLUMN D"</formula>
    </cfRule>
  </conditionalFormatting>
  <conditionalFormatting sqref="P168">
    <cfRule type="cellIs" dxfId="6404" priority="2537" stopIfTrue="1" operator="equal">
      <formula>"INPUT STARTER IN COLUMN D"</formula>
    </cfRule>
  </conditionalFormatting>
  <conditionalFormatting sqref="P169">
    <cfRule type="cellIs" dxfId="6403" priority="2536" stopIfTrue="1" operator="equal">
      <formula>"INPUT STARTER IN COLUMN D"</formula>
    </cfRule>
  </conditionalFormatting>
  <conditionalFormatting sqref="P170">
    <cfRule type="cellIs" dxfId="6402" priority="2535" stopIfTrue="1" operator="equal">
      <formula>"INPUT STARTER IN COLUMN D"</formula>
    </cfRule>
  </conditionalFormatting>
  <conditionalFormatting sqref="P171">
    <cfRule type="cellIs" dxfId="6401" priority="2534" stopIfTrue="1" operator="equal">
      <formula>"INPUT STARTER IN COLUMN D"</formula>
    </cfRule>
  </conditionalFormatting>
  <conditionalFormatting sqref="P172">
    <cfRule type="cellIs" dxfId="6400" priority="2533" stopIfTrue="1" operator="equal">
      <formula>"INPUT STARTER IN COLUMN D"</formula>
    </cfRule>
  </conditionalFormatting>
  <conditionalFormatting sqref="P173">
    <cfRule type="cellIs" dxfId="6399" priority="2532" stopIfTrue="1" operator="equal">
      <formula>"INPUT STARTER IN COLUMN D"</formula>
    </cfRule>
  </conditionalFormatting>
  <conditionalFormatting sqref="P174">
    <cfRule type="cellIs" dxfId="6398" priority="2531" stopIfTrue="1" operator="equal">
      <formula>"INPUT STARTER IN COLUMN D"</formula>
    </cfRule>
  </conditionalFormatting>
  <conditionalFormatting sqref="P176">
    <cfRule type="cellIs" dxfId="6397" priority="2530" stopIfTrue="1" operator="equal">
      <formula>"INPUT STARTER IN COLUMN D"</formula>
    </cfRule>
  </conditionalFormatting>
  <conditionalFormatting sqref="P177">
    <cfRule type="cellIs" dxfId="6396" priority="2529" stopIfTrue="1" operator="equal">
      <formula>"INPUT STARTER IN COLUMN D"</formula>
    </cfRule>
  </conditionalFormatting>
  <conditionalFormatting sqref="P178">
    <cfRule type="cellIs" dxfId="6395" priority="2528" stopIfTrue="1" operator="equal">
      <formula>"INPUT STARTER IN COLUMN D"</formula>
    </cfRule>
  </conditionalFormatting>
  <conditionalFormatting sqref="P179">
    <cfRule type="cellIs" dxfId="6394" priority="2527" stopIfTrue="1" operator="equal">
      <formula>"INPUT STARTER IN COLUMN D"</formula>
    </cfRule>
  </conditionalFormatting>
  <conditionalFormatting sqref="P180">
    <cfRule type="cellIs" dxfId="6393" priority="2526" stopIfTrue="1" operator="equal">
      <formula>"INPUT STARTER IN COLUMN D"</formula>
    </cfRule>
  </conditionalFormatting>
  <conditionalFormatting sqref="P181">
    <cfRule type="cellIs" dxfId="6392" priority="2525" stopIfTrue="1" operator="equal">
      <formula>"INPUT STARTER IN COLUMN D"</formula>
    </cfRule>
  </conditionalFormatting>
  <conditionalFormatting sqref="P182">
    <cfRule type="cellIs" dxfId="6391" priority="2524" stopIfTrue="1" operator="equal">
      <formula>"INPUT STARTER IN COLUMN D"</formula>
    </cfRule>
  </conditionalFormatting>
  <conditionalFormatting sqref="P183">
    <cfRule type="cellIs" dxfId="6390" priority="2523" stopIfTrue="1" operator="equal">
      <formula>"INPUT STARTER IN COLUMN D"</formula>
    </cfRule>
  </conditionalFormatting>
  <conditionalFormatting sqref="P184">
    <cfRule type="cellIs" dxfId="6389" priority="2522" stopIfTrue="1" operator="equal">
      <formula>"INPUT STARTER IN COLUMN D"</formula>
    </cfRule>
  </conditionalFormatting>
  <conditionalFormatting sqref="P185">
    <cfRule type="cellIs" dxfId="6388" priority="2521" stopIfTrue="1" operator="equal">
      <formula>"INPUT STARTER IN COLUMN D"</formula>
    </cfRule>
  </conditionalFormatting>
  <conditionalFormatting sqref="AK3:AK22">
    <cfRule type="cellIs" dxfId="6387" priority="2520" stopIfTrue="1" operator="equal">
      <formula>"must average at least 5 innings per start"</formula>
    </cfRule>
  </conditionalFormatting>
  <conditionalFormatting sqref="AK23">
    <cfRule type="cellIs" dxfId="6386" priority="2519" stopIfTrue="1" operator="equal">
      <formula>"must have 162 starts"</formula>
    </cfRule>
  </conditionalFormatting>
  <conditionalFormatting sqref="AH3:AH22">
    <cfRule type="cellIs" dxfId="6385" priority="2518" stopIfTrue="1" operator="equal">
      <formula>"must average at least 5 innings per start"</formula>
    </cfRule>
  </conditionalFormatting>
  <conditionalFormatting sqref="AH23">
    <cfRule type="cellIs" dxfId="6384" priority="2517" stopIfTrue="1" operator="equal">
      <formula>"must have 162 starts"</formula>
    </cfRule>
  </conditionalFormatting>
  <conditionalFormatting sqref="AG3:AG22">
    <cfRule type="cellIs" dxfId="6383" priority="2516" stopIfTrue="1" operator="equal">
      <formula>"must average at least 5 innings per start"</formula>
    </cfRule>
  </conditionalFormatting>
  <conditionalFormatting sqref="AG23">
    <cfRule type="cellIs" dxfId="6382" priority="2515" stopIfTrue="1" operator="equal">
      <formula>"must have 162 starts"</formula>
    </cfRule>
  </conditionalFormatting>
  <conditionalFormatting sqref="AK3:AK22">
    <cfRule type="cellIs" dxfId="6381" priority="2514" stopIfTrue="1" operator="equal">
      <formula>"must average at least 5 innings per start"</formula>
    </cfRule>
  </conditionalFormatting>
  <conditionalFormatting sqref="AK23">
    <cfRule type="cellIs" dxfId="6380" priority="2513" stopIfTrue="1" operator="equal">
      <formula>"must have 162 starts"</formula>
    </cfRule>
  </conditionalFormatting>
  <conditionalFormatting sqref="AH3:AH22">
    <cfRule type="cellIs" dxfId="6379" priority="2512" stopIfTrue="1" operator="equal">
      <formula>"must average at least 5 innings per start"</formula>
    </cfRule>
  </conditionalFormatting>
  <conditionalFormatting sqref="AH23">
    <cfRule type="cellIs" dxfId="6378" priority="2511" stopIfTrue="1" operator="equal">
      <formula>"must have 162 starts"</formula>
    </cfRule>
  </conditionalFormatting>
  <conditionalFormatting sqref="AG3:AG22">
    <cfRule type="cellIs" dxfId="6377" priority="2510" stopIfTrue="1" operator="equal">
      <formula>"must average at least 5 innings per start"</formula>
    </cfRule>
  </conditionalFormatting>
  <conditionalFormatting sqref="AG23">
    <cfRule type="cellIs" dxfId="6376" priority="2509" stopIfTrue="1" operator="equal">
      <formula>"must have 162 starts"</formula>
    </cfRule>
  </conditionalFormatting>
  <conditionalFormatting sqref="AK3:AK22">
    <cfRule type="cellIs" dxfId="6375" priority="2508" stopIfTrue="1" operator="equal">
      <formula>"must average at least 5 innings per start"</formula>
    </cfRule>
  </conditionalFormatting>
  <conditionalFormatting sqref="AK23">
    <cfRule type="cellIs" dxfId="6374" priority="2507" stopIfTrue="1" operator="equal">
      <formula>"must have 162 starts"</formula>
    </cfRule>
  </conditionalFormatting>
  <conditionalFormatting sqref="AH3:AH22">
    <cfRule type="cellIs" dxfId="6373" priority="2506" stopIfTrue="1" operator="equal">
      <formula>"must average at least 5 innings per start"</formula>
    </cfRule>
  </conditionalFormatting>
  <conditionalFormatting sqref="AH23">
    <cfRule type="cellIs" dxfId="6372" priority="2505" stopIfTrue="1" operator="equal">
      <formula>"must have 162 starts"</formula>
    </cfRule>
  </conditionalFormatting>
  <conditionalFormatting sqref="AG3:AG22">
    <cfRule type="cellIs" dxfId="6371" priority="2504" stopIfTrue="1" operator="equal">
      <formula>"must average at least 5 innings per start"</formula>
    </cfRule>
  </conditionalFormatting>
  <conditionalFormatting sqref="AG23">
    <cfRule type="cellIs" dxfId="6370" priority="2503" stopIfTrue="1" operator="equal">
      <formula>"must have 162 starts"</formula>
    </cfRule>
  </conditionalFormatting>
  <conditionalFormatting sqref="AK3:AK22">
    <cfRule type="cellIs" dxfId="6369" priority="2502" stopIfTrue="1" operator="equal">
      <formula>"must average at least 5 innings per start"</formula>
    </cfRule>
  </conditionalFormatting>
  <conditionalFormatting sqref="AK23">
    <cfRule type="cellIs" dxfId="6368" priority="2501" stopIfTrue="1" operator="equal">
      <formula>"must have 162 starts"</formula>
    </cfRule>
  </conditionalFormatting>
  <conditionalFormatting sqref="AH3:AH22">
    <cfRule type="cellIs" dxfId="6367" priority="2500" stopIfTrue="1" operator="equal">
      <formula>"must average at least 5 innings per start"</formula>
    </cfRule>
  </conditionalFormatting>
  <conditionalFormatting sqref="AH23">
    <cfRule type="cellIs" dxfId="6366" priority="2499" stopIfTrue="1" operator="equal">
      <formula>"must have 162 starts"</formula>
    </cfRule>
  </conditionalFormatting>
  <conditionalFormatting sqref="AG3:AG22">
    <cfRule type="cellIs" dxfId="6365" priority="2498" stopIfTrue="1" operator="equal">
      <formula>"must average at least 5 innings per start"</formula>
    </cfRule>
  </conditionalFormatting>
  <conditionalFormatting sqref="AG23">
    <cfRule type="cellIs" dxfId="6364" priority="2497" stopIfTrue="1" operator="equal">
      <formula>"must have 162 starts"</formula>
    </cfRule>
  </conditionalFormatting>
  <conditionalFormatting sqref="AK3:AK22">
    <cfRule type="cellIs" dxfId="6363" priority="2496" stopIfTrue="1" operator="equal">
      <formula>"must average at least 5 innings per start"</formula>
    </cfRule>
  </conditionalFormatting>
  <conditionalFormatting sqref="AK23">
    <cfRule type="cellIs" dxfId="6362" priority="2495" stopIfTrue="1" operator="equal">
      <formula>"must have 162 starts"</formula>
    </cfRule>
  </conditionalFormatting>
  <conditionalFormatting sqref="AH3:AH22">
    <cfRule type="cellIs" dxfId="6361" priority="2494" stopIfTrue="1" operator="equal">
      <formula>"must average at least 5 innings per start"</formula>
    </cfRule>
  </conditionalFormatting>
  <conditionalFormatting sqref="AH23">
    <cfRule type="cellIs" dxfId="6360" priority="2493" stopIfTrue="1" operator="equal">
      <formula>"must have 162 starts"</formula>
    </cfRule>
  </conditionalFormatting>
  <conditionalFormatting sqref="AG3:AG22">
    <cfRule type="cellIs" dxfId="6359" priority="2492" stopIfTrue="1" operator="equal">
      <formula>"must average at least 5 innings per start"</formula>
    </cfRule>
  </conditionalFormatting>
  <conditionalFormatting sqref="AG23">
    <cfRule type="cellIs" dxfId="6358" priority="2491" stopIfTrue="1" operator="equal">
      <formula>"must have 162 starts"</formula>
    </cfRule>
  </conditionalFormatting>
  <conditionalFormatting sqref="AK3:AK22">
    <cfRule type="cellIs" dxfId="6357" priority="2490" stopIfTrue="1" operator="equal">
      <formula>"must average at least 5 innings per start"</formula>
    </cfRule>
  </conditionalFormatting>
  <conditionalFormatting sqref="AK23">
    <cfRule type="cellIs" dxfId="6356" priority="2489" stopIfTrue="1" operator="equal">
      <formula>"must have 162 starts"</formula>
    </cfRule>
  </conditionalFormatting>
  <conditionalFormatting sqref="AH3:AH22">
    <cfRule type="cellIs" dxfId="6355" priority="2488" stopIfTrue="1" operator="equal">
      <formula>"must average at least 5 innings per start"</formula>
    </cfRule>
  </conditionalFormatting>
  <conditionalFormatting sqref="AH23">
    <cfRule type="cellIs" dxfId="6354" priority="2487" stopIfTrue="1" operator="equal">
      <formula>"must have 162 starts"</formula>
    </cfRule>
  </conditionalFormatting>
  <conditionalFormatting sqref="AG3:AG22">
    <cfRule type="cellIs" dxfId="6353" priority="2486" stopIfTrue="1" operator="equal">
      <formula>"must average at least 5 innings per start"</formula>
    </cfRule>
  </conditionalFormatting>
  <conditionalFormatting sqref="AG23">
    <cfRule type="cellIs" dxfId="6352" priority="2485" stopIfTrue="1" operator="equal">
      <formula>"must have 162 starts"</formula>
    </cfRule>
  </conditionalFormatting>
  <conditionalFormatting sqref="AK3:AK22">
    <cfRule type="cellIs" dxfId="6351" priority="2484" stopIfTrue="1" operator="equal">
      <formula>"must average at least 5 innings per start"</formula>
    </cfRule>
  </conditionalFormatting>
  <conditionalFormatting sqref="AK23">
    <cfRule type="cellIs" dxfId="6350" priority="2483" stopIfTrue="1" operator="equal">
      <formula>"must have 162 starts"</formula>
    </cfRule>
  </conditionalFormatting>
  <conditionalFormatting sqref="AH3:AH22">
    <cfRule type="cellIs" dxfId="6349" priority="2482" stopIfTrue="1" operator="equal">
      <formula>"must average at least 5 innings per start"</formula>
    </cfRule>
  </conditionalFormatting>
  <conditionalFormatting sqref="AH23">
    <cfRule type="cellIs" dxfId="6348" priority="2481" stopIfTrue="1" operator="equal">
      <formula>"must have 162 starts"</formula>
    </cfRule>
  </conditionalFormatting>
  <conditionalFormatting sqref="AG3:AG22">
    <cfRule type="cellIs" dxfId="6347" priority="2480" stopIfTrue="1" operator="equal">
      <formula>"must average at least 5 innings per start"</formula>
    </cfRule>
  </conditionalFormatting>
  <conditionalFormatting sqref="AG23">
    <cfRule type="cellIs" dxfId="6346" priority="2479" stopIfTrue="1" operator="equal">
      <formula>"must have 162 starts"</formula>
    </cfRule>
  </conditionalFormatting>
  <conditionalFormatting sqref="AK3:AK22">
    <cfRule type="cellIs" dxfId="6345" priority="2478" stopIfTrue="1" operator="equal">
      <formula>"must average at least 5 innings per start"</formula>
    </cfRule>
  </conditionalFormatting>
  <conditionalFormatting sqref="AK23">
    <cfRule type="cellIs" dxfId="6344" priority="2477" stopIfTrue="1" operator="equal">
      <formula>"must have 162 starts"</formula>
    </cfRule>
  </conditionalFormatting>
  <conditionalFormatting sqref="AH3:AH22">
    <cfRule type="cellIs" dxfId="6343" priority="2476" stopIfTrue="1" operator="equal">
      <formula>"must average at least 5 innings per start"</formula>
    </cfRule>
  </conditionalFormatting>
  <conditionalFormatting sqref="AH23">
    <cfRule type="cellIs" dxfId="6342" priority="2475" stopIfTrue="1" operator="equal">
      <formula>"must have 162 starts"</formula>
    </cfRule>
  </conditionalFormatting>
  <conditionalFormatting sqref="AG3:AG22">
    <cfRule type="cellIs" dxfId="6341" priority="2474" stopIfTrue="1" operator="equal">
      <formula>"must average at least 5 innings per start"</formula>
    </cfRule>
  </conditionalFormatting>
  <conditionalFormatting sqref="AG23">
    <cfRule type="cellIs" dxfId="6340" priority="2473" stopIfTrue="1" operator="equal">
      <formula>"must have 162 starts"</formula>
    </cfRule>
  </conditionalFormatting>
  <conditionalFormatting sqref="AK3:AK22">
    <cfRule type="cellIs" dxfId="6339" priority="2472" stopIfTrue="1" operator="equal">
      <formula>"must average at least 5 innings per start"</formula>
    </cfRule>
  </conditionalFormatting>
  <conditionalFormatting sqref="AK23">
    <cfRule type="cellIs" dxfId="6338" priority="2471" stopIfTrue="1" operator="equal">
      <formula>"must have 162 starts"</formula>
    </cfRule>
  </conditionalFormatting>
  <conditionalFormatting sqref="AH3:AH22">
    <cfRule type="cellIs" dxfId="6337" priority="2470" stopIfTrue="1" operator="equal">
      <formula>"must average at least 5 innings per start"</formula>
    </cfRule>
  </conditionalFormatting>
  <conditionalFormatting sqref="AH23">
    <cfRule type="cellIs" dxfId="6336" priority="2469" stopIfTrue="1" operator="equal">
      <formula>"must have 162 starts"</formula>
    </cfRule>
  </conditionalFormatting>
  <conditionalFormatting sqref="AG3:AG22">
    <cfRule type="cellIs" dxfId="6335" priority="2468" stopIfTrue="1" operator="equal">
      <formula>"must average at least 5 innings per start"</formula>
    </cfRule>
  </conditionalFormatting>
  <conditionalFormatting sqref="AG23">
    <cfRule type="cellIs" dxfId="6334" priority="2467" stopIfTrue="1" operator="equal">
      <formula>"must have 162 starts"</formula>
    </cfRule>
  </conditionalFormatting>
  <conditionalFormatting sqref="AK3:AK22">
    <cfRule type="cellIs" dxfId="6333" priority="2466" stopIfTrue="1" operator="equal">
      <formula>"must average at least 5 innings per start"</formula>
    </cfRule>
  </conditionalFormatting>
  <conditionalFormatting sqref="AK23">
    <cfRule type="cellIs" dxfId="6332" priority="2465" stopIfTrue="1" operator="equal">
      <formula>"must have 162 starts"</formula>
    </cfRule>
  </conditionalFormatting>
  <conditionalFormatting sqref="AH3:AH22">
    <cfRule type="cellIs" dxfId="6331" priority="2464" stopIfTrue="1" operator="equal">
      <formula>"must average at least 5 innings per start"</formula>
    </cfRule>
  </conditionalFormatting>
  <conditionalFormatting sqref="AH23">
    <cfRule type="cellIs" dxfId="6330" priority="2463" stopIfTrue="1" operator="equal">
      <formula>"must have 162 starts"</formula>
    </cfRule>
  </conditionalFormatting>
  <conditionalFormatting sqref="AG3:AG22">
    <cfRule type="cellIs" dxfId="6329" priority="2462" stopIfTrue="1" operator="equal">
      <formula>"must average at least 5 innings per start"</formula>
    </cfRule>
  </conditionalFormatting>
  <conditionalFormatting sqref="AG23">
    <cfRule type="cellIs" dxfId="6328" priority="2461" stopIfTrue="1" operator="equal">
      <formula>"must have 162 starts"</formula>
    </cfRule>
  </conditionalFormatting>
  <conditionalFormatting sqref="AK3:AK22">
    <cfRule type="cellIs" dxfId="6327" priority="2460" stopIfTrue="1" operator="equal">
      <formula>"must average at least 5 innings per start"</formula>
    </cfRule>
  </conditionalFormatting>
  <conditionalFormatting sqref="AK23">
    <cfRule type="cellIs" dxfId="6326" priority="2459" stopIfTrue="1" operator="equal">
      <formula>"must have 162 starts"</formula>
    </cfRule>
  </conditionalFormatting>
  <conditionalFormatting sqref="AH3:AH22">
    <cfRule type="cellIs" dxfId="6325" priority="2458" stopIfTrue="1" operator="equal">
      <formula>"must average at least 5 innings per start"</formula>
    </cfRule>
  </conditionalFormatting>
  <conditionalFormatting sqref="AH23">
    <cfRule type="cellIs" dxfId="6324" priority="2457" stopIfTrue="1" operator="equal">
      <formula>"must have 162 starts"</formula>
    </cfRule>
  </conditionalFormatting>
  <conditionalFormatting sqref="AG3:AG22">
    <cfRule type="cellIs" dxfId="6323" priority="2456" stopIfTrue="1" operator="equal">
      <formula>"must average at least 5 innings per start"</formula>
    </cfRule>
  </conditionalFormatting>
  <conditionalFormatting sqref="AG23">
    <cfRule type="cellIs" dxfId="6322" priority="2455" stopIfTrue="1" operator="equal">
      <formula>"must have 162 starts"</formula>
    </cfRule>
  </conditionalFormatting>
  <conditionalFormatting sqref="AK3:AK22">
    <cfRule type="cellIs" dxfId="6321" priority="2454" stopIfTrue="1" operator="equal">
      <formula>"must average at least 5 innings per start"</formula>
    </cfRule>
  </conditionalFormatting>
  <conditionalFormatting sqref="AK23">
    <cfRule type="cellIs" dxfId="6320" priority="2453" stopIfTrue="1" operator="equal">
      <formula>"must have 162 starts"</formula>
    </cfRule>
  </conditionalFormatting>
  <conditionalFormatting sqref="AH3:AH22">
    <cfRule type="cellIs" dxfId="6319" priority="2452" stopIfTrue="1" operator="equal">
      <formula>"must average at least 5 innings per start"</formula>
    </cfRule>
  </conditionalFormatting>
  <conditionalFormatting sqref="AH23">
    <cfRule type="cellIs" dxfId="6318" priority="2451" stopIfTrue="1" operator="equal">
      <formula>"must have 162 starts"</formula>
    </cfRule>
  </conditionalFormatting>
  <conditionalFormatting sqref="AG3:AG22">
    <cfRule type="cellIs" dxfId="6317" priority="2450" stopIfTrue="1" operator="equal">
      <formula>"must average at least 5 innings per start"</formula>
    </cfRule>
  </conditionalFormatting>
  <conditionalFormatting sqref="AG23">
    <cfRule type="cellIs" dxfId="6316" priority="2449" stopIfTrue="1" operator="equal">
      <formula>"must have 162 starts"</formula>
    </cfRule>
  </conditionalFormatting>
  <conditionalFormatting sqref="AK3:AK22">
    <cfRule type="cellIs" dxfId="6315" priority="2448" stopIfTrue="1" operator="equal">
      <formula>"must average at least 5 innings per start"</formula>
    </cfRule>
  </conditionalFormatting>
  <conditionalFormatting sqref="AK23">
    <cfRule type="cellIs" dxfId="6314" priority="2447" stopIfTrue="1" operator="equal">
      <formula>"must have 162 starts"</formula>
    </cfRule>
  </conditionalFormatting>
  <conditionalFormatting sqref="AH3:AH22">
    <cfRule type="cellIs" dxfId="6313" priority="2446" stopIfTrue="1" operator="equal">
      <formula>"must average at least 5 innings per start"</formula>
    </cfRule>
  </conditionalFormatting>
  <conditionalFormatting sqref="AH23">
    <cfRule type="cellIs" dxfId="6312" priority="2445" stopIfTrue="1" operator="equal">
      <formula>"must have 162 starts"</formula>
    </cfRule>
  </conditionalFormatting>
  <conditionalFormatting sqref="AG3:AG22">
    <cfRule type="cellIs" dxfId="6311" priority="2444" stopIfTrue="1" operator="equal">
      <formula>"must average at least 5 innings per start"</formula>
    </cfRule>
  </conditionalFormatting>
  <conditionalFormatting sqref="AG23">
    <cfRule type="cellIs" dxfId="6310" priority="2443" stopIfTrue="1" operator="equal">
      <formula>"must have 162 starts"</formula>
    </cfRule>
  </conditionalFormatting>
  <conditionalFormatting sqref="AK3:AK22">
    <cfRule type="cellIs" dxfId="6309" priority="2442" stopIfTrue="1" operator="equal">
      <formula>"must average at least 5 innings per start"</formula>
    </cfRule>
  </conditionalFormatting>
  <conditionalFormatting sqref="AK23">
    <cfRule type="cellIs" dxfId="6308" priority="2441" stopIfTrue="1" operator="equal">
      <formula>"must have 162 starts"</formula>
    </cfRule>
  </conditionalFormatting>
  <conditionalFormatting sqref="AH3:AH22">
    <cfRule type="cellIs" dxfId="6307" priority="2440" stopIfTrue="1" operator="equal">
      <formula>"must average at least 5 innings per start"</formula>
    </cfRule>
  </conditionalFormatting>
  <conditionalFormatting sqref="AH23">
    <cfRule type="cellIs" dxfId="6306" priority="2439" stopIfTrue="1" operator="equal">
      <formula>"must have 162 starts"</formula>
    </cfRule>
  </conditionalFormatting>
  <conditionalFormatting sqref="AG3:AG22">
    <cfRule type="cellIs" dxfId="6305" priority="2438" stopIfTrue="1" operator="equal">
      <formula>"must average at least 5 innings per start"</formula>
    </cfRule>
  </conditionalFormatting>
  <conditionalFormatting sqref="AG23">
    <cfRule type="cellIs" dxfId="6304" priority="2437" stopIfTrue="1" operator="equal">
      <formula>"must have 162 starts"</formula>
    </cfRule>
  </conditionalFormatting>
  <conditionalFormatting sqref="AK3:AK22">
    <cfRule type="cellIs" dxfId="6303" priority="2436" stopIfTrue="1" operator="equal">
      <formula>"must average at least 5 innings per start"</formula>
    </cfRule>
  </conditionalFormatting>
  <conditionalFormatting sqref="AK23">
    <cfRule type="cellIs" dxfId="6302" priority="2435" stopIfTrue="1" operator="equal">
      <formula>"must have 162 starts"</formula>
    </cfRule>
  </conditionalFormatting>
  <conditionalFormatting sqref="AH3:AH22">
    <cfRule type="cellIs" dxfId="6301" priority="2434" stopIfTrue="1" operator="equal">
      <formula>"must average at least 5 innings per start"</formula>
    </cfRule>
  </conditionalFormatting>
  <conditionalFormatting sqref="AH23">
    <cfRule type="cellIs" dxfId="6300" priority="2433" stopIfTrue="1" operator="equal">
      <formula>"must have 162 starts"</formula>
    </cfRule>
  </conditionalFormatting>
  <conditionalFormatting sqref="AG3:AG22">
    <cfRule type="cellIs" dxfId="6299" priority="2432" stopIfTrue="1" operator="equal">
      <formula>"must average at least 5 innings per start"</formula>
    </cfRule>
  </conditionalFormatting>
  <conditionalFormatting sqref="AG23">
    <cfRule type="cellIs" dxfId="6298" priority="2431" stopIfTrue="1" operator="equal">
      <formula>"must have 162 starts"</formula>
    </cfRule>
  </conditionalFormatting>
  <conditionalFormatting sqref="AG3:AG22">
    <cfRule type="cellIs" dxfId="6297" priority="2430" stopIfTrue="1" operator="equal">
      <formula>"must average at least 5 innings per start"</formula>
    </cfRule>
  </conditionalFormatting>
  <conditionalFormatting sqref="AG23">
    <cfRule type="cellIs" dxfId="6296" priority="2429" stopIfTrue="1" operator="equal">
      <formula>"must have 162 starts"</formula>
    </cfRule>
  </conditionalFormatting>
  <conditionalFormatting sqref="AK3:AK22">
    <cfRule type="cellIs" dxfId="6295" priority="2428" stopIfTrue="1" operator="equal">
      <formula>"must average at least 5 innings per start"</formula>
    </cfRule>
  </conditionalFormatting>
  <conditionalFormatting sqref="AK23">
    <cfRule type="cellIs" dxfId="6294" priority="2427" stopIfTrue="1" operator="equal">
      <formula>"must have 162 starts"</formula>
    </cfRule>
  </conditionalFormatting>
  <conditionalFormatting sqref="AK3:AK22">
    <cfRule type="cellIs" dxfId="6293" priority="2426" stopIfTrue="1" operator="equal">
      <formula>"must average at least 5 innings per start"</formula>
    </cfRule>
  </conditionalFormatting>
  <conditionalFormatting sqref="AK23">
    <cfRule type="cellIs" dxfId="6292" priority="2425" stopIfTrue="1" operator="equal">
      <formula>"must have 162 starts"</formula>
    </cfRule>
  </conditionalFormatting>
  <conditionalFormatting sqref="AK3:AK22">
    <cfRule type="cellIs" dxfId="6291" priority="2424" stopIfTrue="1" operator="equal">
      <formula>"must average at least 5 innings per start"</formula>
    </cfRule>
  </conditionalFormatting>
  <conditionalFormatting sqref="AK23">
    <cfRule type="cellIs" dxfId="6290" priority="2423" stopIfTrue="1" operator="equal">
      <formula>"must have 162 starts"</formula>
    </cfRule>
  </conditionalFormatting>
  <conditionalFormatting sqref="AK3:AK22">
    <cfRule type="cellIs" dxfId="6289" priority="2422" stopIfTrue="1" operator="equal">
      <formula>"must average at least 5 innings per start"</formula>
    </cfRule>
  </conditionalFormatting>
  <conditionalFormatting sqref="AK23">
    <cfRule type="cellIs" dxfId="6288" priority="2421" stopIfTrue="1" operator="equal">
      <formula>"must have 162 starts"</formula>
    </cfRule>
  </conditionalFormatting>
  <conditionalFormatting sqref="AK3:AK22">
    <cfRule type="cellIs" dxfId="6287" priority="2420" stopIfTrue="1" operator="equal">
      <formula>"must average at least 5 innings per start"</formula>
    </cfRule>
  </conditionalFormatting>
  <conditionalFormatting sqref="AK23">
    <cfRule type="cellIs" dxfId="6286" priority="2419" stopIfTrue="1" operator="equal">
      <formula>"must have 162 starts"</formula>
    </cfRule>
  </conditionalFormatting>
  <conditionalFormatting sqref="AK3:AK22">
    <cfRule type="cellIs" dxfId="6285" priority="2418" stopIfTrue="1" operator="equal">
      <formula>"must average at least 5 innings per start"</formula>
    </cfRule>
  </conditionalFormatting>
  <conditionalFormatting sqref="AK23">
    <cfRule type="cellIs" dxfId="6284" priority="2417" stopIfTrue="1" operator="equal">
      <formula>"must have 162 starts"</formula>
    </cfRule>
  </conditionalFormatting>
  <conditionalFormatting sqref="AK3:AK22">
    <cfRule type="cellIs" dxfId="6283" priority="2416" stopIfTrue="1" operator="equal">
      <formula>"must average at least 5 innings per start"</formula>
    </cfRule>
  </conditionalFormatting>
  <conditionalFormatting sqref="AK23">
    <cfRule type="cellIs" dxfId="6282" priority="2415" stopIfTrue="1" operator="equal">
      <formula>"must have 162 starts"</formula>
    </cfRule>
  </conditionalFormatting>
  <conditionalFormatting sqref="AH3:AH22">
    <cfRule type="cellIs" dxfId="6281" priority="2414" stopIfTrue="1" operator="equal">
      <formula>"must average at least 5 innings per start"</formula>
    </cfRule>
  </conditionalFormatting>
  <conditionalFormatting sqref="AH23">
    <cfRule type="cellIs" dxfId="6280" priority="2413" stopIfTrue="1" operator="equal">
      <formula>"must have 162 starts"</formula>
    </cfRule>
  </conditionalFormatting>
  <conditionalFormatting sqref="AG3:AG22">
    <cfRule type="cellIs" dxfId="6279" priority="2412" stopIfTrue="1" operator="equal">
      <formula>"must average at least 5 innings per start"</formula>
    </cfRule>
  </conditionalFormatting>
  <conditionalFormatting sqref="AG23">
    <cfRule type="cellIs" dxfId="6278" priority="2411" stopIfTrue="1" operator="equal">
      <formula>"must have 162 starts"</formula>
    </cfRule>
  </conditionalFormatting>
  <conditionalFormatting sqref="AK3:AK22">
    <cfRule type="cellIs" dxfId="6277" priority="2410" stopIfTrue="1" operator="equal">
      <formula>"must average at least 5 innings per start"</formula>
    </cfRule>
  </conditionalFormatting>
  <conditionalFormatting sqref="AK23">
    <cfRule type="cellIs" dxfId="6276" priority="2409" stopIfTrue="1" operator="equal">
      <formula>"must have 162 starts"</formula>
    </cfRule>
  </conditionalFormatting>
  <conditionalFormatting sqref="AK3:AK22">
    <cfRule type="cellIs" dxfId="6275" priority="2408" stopIfTrue="1" operator="equal">
      <formula>"must average at least 5 innings per start"</formula>
    </cfRule>
  </conditionalFormatting>
  <conditionalFormatting sqref="AK23">
    <cfRule type="cellIs" dxfId="6274" priority="2407" stopIfTrue="1" operator="equal">
      <formula>"must have 162 starts"</formula>
    </cfRule>
  </conditionalFormatting>
  <conditionalFormatting sqref="AK3:AK22">
    <cfRule type="cellIs" dxfId="6273" priority="2406" stopIfTrue="1" operator="equal">
      <formula>"must average at least 5 innings per start"</formula>
    </cfRule>
  </conditionalFormatting>
  <conditionalFormatting sqref="AK23">
    <cfRule type="cellIs" dxfId="6272" priority="2405" stopIfTrue="1" operator="equal">
      <formula>"must have 162 starts"</formula>
    </cfRule>
  </conditionalFormatting>
  <conditionalFormatting sqref="AK3:AK22">
    <cfRule type="cellIs" dxfId="6271" priority="2404" stopIfTrue="1" operator="equal">
      <formula>"must average at least 5 innings per start"</formula>
    </cfRule>
  </conditionalFormatting>
  <conditionalFormatting sqref="AK23">
    <cfRule type="cellIs" dxfId="6270" priority="2403" stopIfTrue="1" operator="equal">
      <formula>"must have 162 starts"</formula>
    </cfRule>
  </conditionalFormatting>
  <conditionalFormatting sqref="AK3:AK22">
    <cfRule type="cellIs" dxfId="6269" priority="2402" stopIfTrue="1" operator="equal">
      <formula>"must average at least 5 innings per start"</formula>
    </cfRule>
  </conditionalFormatting>
  <conditionalFormatting sqref="AK23">
    <cfRule type="cellIs" dxfId="6268" priority="2401" stopIfTrue="1" operator="equal">
      <formula>"must have 162 starts"</formula>
    </cfRule>
  </conditionalFormatting>
  <conditionalFormatting sqref="AK3:AK22">
    <cfRule type="cellIs" dxfId="6267" priority="2400" stopIfTrue="1" operator="equal">
      <formula>"must average at least 5 innings per start"</formula>
    </cfRule>
  </conditionalFormatting>
  <conditionalFormatting sqref="AK23">
    <cfRule type="cellIs" dxfId="6266" priority="2399" stopIfTrue="1" operator="equal">
      <formula>"must have 162 starts"</formula>
    </cfRule>
  </conditionalFormatting>
  <conditionalFormatting sqref="AK3:AK22">
    <cfRule type="cellIs" dxfId="6265" priority="2398" stopIfTrue="1" operator="equal">
      <formula>"must average at least 5 innings per start"</formula>
    </cfRule>
  </conditionalFormatting>
  <conditionalFormatting sqref="AK23">
    <cfRule type="cellIs" dxfId="6264" priority="2397" stopIfTrue="1" operator="equal">
      <formula>"must have 162 starts"</formula>
    </cfRule>
  </conditionalFormatting>
  <conditionalFormatting sqref="AK3:AK22">
    <cfRule type="cellIs" dxfId="6263" priority="2396" stopIfTrue="1" operator="equal">
      <formula>"must average at least 5 innings per start"</formula>
    </cfRule>
  </conditionalFormatting>
  <conditionalFormatting sqref="AK23">
    <cfRule type="cellIs" dxfId="6262" priority="2395" stopIfTrue="1" operator="equal">
      <formula>"must have 162 starts"</formula>
    </cfRule>
  </conditionalFormatting>
  <conditionalFormatting sqref="AG3:AG22">
    <cfRule type="cellIs" dxfId="6261" priority="2394" stopIfTrue="1" operator="equal">
      <formula>"must average at least 5 innings per start"</formula>
    </cfRule>
  </conditionalFormatting>
  <conditionalFormatting sqref="AG23">
    <cfRule type="cellIs" dxfId="6260" priority="2393" stopIfTrue="1" operator="equal">
      <formula>"must have 162 starts"</formula>
    </cfRule>
  </conditionalFormatting>
  <conditionalFormatting sqref="AK3:AK22">
    <cfRule type="cellIs" dxfId="6259" priority="2392" stopIfTrue="1" operator="equal">
      <formula>"must average at least 5 innings per start"</formula>
    </cfRule>
  </conditionalFormatting>
  <conditionalFormatting sqref="AK23">
    <cfRule type="cellIs" dxfId="6258" priority="2391" stopIfTrue="1" operator="equal">
      <formula>"must have 162 starts"</formula>
    </cfRule>
  </conditionalFormatting>
  <conditionalFormatting sqref="AK3:AK22">
    <cfRule type="cellIs" dxfId="6257" priority="2390" stopIfTrue="1" operator="equal">
      <formula>"must average at least 5 innings per start"</formula>
    </cfRule>
  </conditionalFormatting>
  <conditionalFormatting sqref="AK23">
    <cfRule type="cellIs" dxfId="6256" priority="2389" stopIfTrue="1" operator="equal">
      <formula>"must have 162 starts"</formula>
    </cfRule>
  </conditionalFormatting>
  <conditionalFormatting sqref="AK3:AK22">
    <cfRule type="cellIs" dxfId="6255" priority="2388" stopIfTrue="1" operator="equal">
      <formula>"must average at least 5 innings per start"</formula>
    </cfRule>
  </conditionalFormatting>
  <conditionalFormatting sqref="AK23">
    <cfRule type="cellIs" dxfId="6254" priority="2387" stopIfTrue="1" operator="equal">
      <formula>"must have 162 starts"</formula>
    </cfRule>
  </conditionalFormatting>
  <conditionalFormatting sqref="AK3:AK22">
    <cfRule type="cellIs" dxfId="6253" priority="2386" stopIfTrue="1" operator="equal">
      <formula>"must average at least 5 innings per start"</formula>
    </cfRule>
  </conditionalFormatting>
  <conditionalFormatting sqref="AK23">
    <cfRule type="cellIs" dxfId="6252" priority="2385" stopIfTrue="1" operator="equal">
      <formula>"must have 162 starts"</formula>
    </cfRule>
  </conditionalFormatting>
  <conditionalFormatting sqref="AK3:AK22">
    <cfRule type="cellIs" dxfId="6251" priority="2384" stopIfTrue="1" operator="equal">
      <formula>"must average at least 5 innings per start"</formula>
    </cfRule>
  </conditionalFormatting>
  <conditionalFormatting sqref="AK23">
    <cfRule type="cellIs" dxfId="6250" priority="2383" stopIfTrue="1" operator="equal">
      <formula>"must have 162 starts"</formula>
    </cfRule>
  </conditionalFormatting>
  <conditionalFormatting sqref="AK3:AK22">
    <cfRule type="cellIs" dxfId="6249" priority="2382" stopIfTrue="1" operator="equal">
      <formula>"must average at least 5 innings per start"</formula>
    </cfRule>
  </conditionalFormatting>
  <conditionalFormatting sqref="AK23">
    <cfRule type="cellIs" dxfId="6248" priority="2381" stopIfTrue="1" operator="equal">
      <formula>"must have 162 starts"</formula>
    </cfRule>
  </conditionalFormatting>
  <conditionalFormatting sqref="AK3:AK22">
    <cfRule type="cellIs" dxfId="6247" priority="2380" stopIfTrue="1" operator="equal">
      <formula>"must average at least 5 innings per start"</formula>
    </cfRule>
  </conditionalFormatting>
  <conditionalFormatting sqref="AK23">
    <cfRule type="cellIs" dxfId="6246" priority="2379" stopIfTrue="1" operator="equal">
      <formula>"must have 162 starts"</formula>
    </cfRule>
  </conditionalFormatting>
  <conditionalFormatting sqref="AG3:AG22">
    <cfRule type="cellIs" dxfId="6245" priority="2378" stopIfTrue="1" operator="equal">
      <formula>"must average at least 5 innings per start"</formula>
    </cfRule>
  </conditionalFormatting>
  <conditionalFormatting sqref="AG23">
    <cfRule type="cellIs" dxfId="6244" priority="2377" stopIfTrue="1" operator="equal">
      <formula>"must have 162 starts"</formula>
    </cfRule>
  </conditionalFormatting>
  <conditionalFormatting sqref="AK3:AK22">
    <cfRule type="cellIs" dxfId="6243" priority="2376" stopIfTrue="1" operator="equal">
      <formula>"must average at least 5 innings per start"</formula>
    </cfRule>
  </conditionalFormatting>
  <conditionalFormatting sqref="AK23">
    <cfRule type="cellIs" dxfId="6242" priority="2375" stopIfTrue="1" operator="equal">
      <formula>"must have 162 starts"</formula>
    </cfRule>
  </conditionalFormatting>
  <conditionalFormatting sqref="AK3:AK22">
    <cfRule type="cellIs" dxfId="6241" priority="2374" stopIfTrue="1" operator="equal">
      <formula>"must average at least 5 innings per start"</formula>
    </cfRule>
  </conditionalFormatting>
  <conditionalFormatting sqref="AK23">
    <cfRule type="cellIs" dxfId="6240" priority="2373" stopIfTrue="1" operator="equal">
      <formula>"must have 162 starts"</formula>
    </cfRule>
  </conditionalFormatting>
  <conditionalFormatting sqref="AK3:AK22">
    <cfRule type="cellIs" dxfId="6239" priority="2372" stopIfTrue="1" operator="equal">
      <formula>"must average at least 5 innings per start"</formula>
    </cfRule>
  </conditionalFormatting>
  <conditionalFormatting sqref="AK23">
    <cfRule type="cellIs" dxfId="6238" priority="2371" stopIfTrue="1" operator="equal">
      <formula>"must have 162 starts"</formula>
    </cfRule>
  </conditionalFormatting>
  <conditionalFormatting sqref="AK3:AK22">
    <cfRule type="cellIs" dxfId="6237" priority="2370" stopIfTrue="1" operator="equal">
      <formula>"must average at least 5 innings per start"</formula>
    </cfRule>
  </conditionalFormatting>
  <conditionalFormatting sqref="AK23">
    <cfRule type="cellIs" dxfId="6236" priority="2369" stopIfTrue="1" operator="equal">
      <formula>"must have 162 starts"</formula>
    </cfRule>
  </conditionalFormatting>
  <conditionalFormatting sqref="AK3:AK22">
    <cfRule type="cellIs" dxfId="6235" priority="2368" stopIfTrue="1" operator="equal">
      <formula>"must average at least 5 innings per start"</formula>
    </cfRule>
  </conditionalFormatting>
  <conditionalFormatting sqref="AK23">
    <cfRule type="cellIs" dxfId="6234" priority="2367" stopIfTrue="1" operator="equal">
      <formula>"must have 162 starts"</formula>
    </cfRule>
  </conditionalFormatting>
  <conditionalFormatting sqref="AK3:AK22">
    <cfRule type="cellIs" dxfId="6233" priority="2366" stopIfTrue="1" operator="equal">
      <formula>"must average at least 5 innings per start"</formula>
    </cfRule>
  </conditionalFormatting>
  <conditionalFormatting sqref="AK23">
    <cfRule type="cellIs" dxfId="6232" priority="2365" stopIfTrue="1" operator="equal">
      <formula>"must have 162 starts"</formula>
    </cfRule>
  </conditionalFormatting>
  <conditionalFormatting sqref="AG3:AG22">
    <cfRule type="cellIs" dxfId="6231" priority="2364" stopIfTrue="1" operator="equal">
      <formula>"must average at least 5 innings per start"</formula>
    </cfRule>
  </conditionalFormatting>
  <conditionalFormatting sqref="AG23">
    <cfRule type="cellIs" dxfId="6230" priority="2363" stopIfTrue="1" operator="equal">
      <formula>"must have 162 starts"</formula>
    </cfRule>
  </conditionalFormatting>
  <conditionalFormatting sqref="AK3:AK22">
    <cfRule type="cellIs" dxfId="6229" priority="2362" stopIfTrue="1" operator="equal">
      <formula>"must average at least 5 innings per start"</formula>
    </cfRule>
  </conditionalFormatting>
  <conditionalFormatting sqref="AK23">
    <cfRule type="cellIs" dxfId="6228" priority="2361" stopIfTrue="1" operator="equal">
      <formula>"must have 162 starts"</formula>
    </cfRule>
  </conditionalFormatting>
  <conditionalFormatting sqref="AK3:AK22">
    <cfRule type="cellIs" dxfId="6227" priority="2360" stopIfTrue="1" operator="equal">
      <formula>"must average at least 5 innings per start"</formula>
    </cfRule>
  </conditionalFormatting>
  <conditionalFormatting sqref="AK23">
    <cfRule type="cellIs" dxfId="6226" priority="2359" stopIfTrue="1" operator="equal">
      <formula>"must have 162 starts"</formula>
    </cfRule>
  </conditionalFormatting>
  <conditionalFormatting sqref="AK3:AK22">
    <cfRule type="cellIs" dxfId="6225" priority="2358" stopIfTrue="1" operator="equal">
      <formula>"must average at least 5 innings per start"</formula>
    </cfRule>
  </conditionalFormatting>
  <conditionalFormatting sqref="AK23">
    <cfRule type="cellIs" dxfId="6224" priority="2357" stopIfTrue="1" operator="equal">
      <formula>"must have 162 starts"</formula>
    </cfRule>
  </conditionalFormatting>
  <conditionalFormatting sqref="AK3:AK22">
    <cfRule type="cellIs" dxfId="6223" priority="2356" stopIfTrue="1" operator="equal">
      <formula>"must average at least 5 innings per start"</formula>
    </cfRule>
  </conditionalFormatting>
  <conditionalFormatting sqref="AK23">
    <cfRule type="cellIs" dxfId="6222" priority="2355" stopIfTrue="1" operator="equal">
      <formula>"must have 162 starts"</formula>
    </cfRule>
  </conditionalFormatting>
  <conditionalFormatting sqref="AK3:AK22">
    <cfRule type="cellIs" dxfId="6221" priority="2354" stopIfTrue="1" operator="equal">
      <formula>"must average at least 5 innings per start"</formula>
    </cfRule>
  </conditionalFormatting>
  <conditionalFormatting sqref="AK23">
    <cfRule type="cellIs" dxfId="6220" priority="2353" stopIfTrue="1" operator="equal">
      <formula>"must have 162 starts"</formula>
    </cfRule>
  </conditionalFormatting>
  <conditionalFormatting sqref="AG3:AG22">
    <cfRule type="cellIs" dxfId="6219" priority="2352" stopIfTrue="1" operator="equal">
      <formula>"must average at least 5 innings per start"</formula>
    </cfRule>
  </conditionalFormatting>
  <conditionalFormatting sqref="AG23">
    <cfRule type="cellIs" dxfId="6218" priority="2351" stopIfTrue="1" operator="equal">
      <formula>"must have 162 starts"</formula>
    </cfRule>
  </conditionalFormatting>
  <conditionalFormatting sqref="AK3:AK22">
    <cfRule type="cellIs" dxfId="6217" priority="2350" stopIfTrue="1" operator="equal">
      <formula>"must average at least 5 innings per start"</formula>
    </cfRule>
  </conditionalFormatting>
  <conditionalFormatting sqref="AK23">
    <cfRule type="cellIs" dxfId="6216" priority="2349" stopIfTrue="1" operator="equal">
      <formula>"must have 162 starts"</formula>
    </cfRule>
  </conditionalFormatting>
  <conditionalFormatting sqref="AK3:AK22">
    <cfRule type="cellIs" dxfId="6215" priority="2348" stopIfTrue="1" operator="equal">
      <formula>"must average at least 5 innings per start"</formula>
    </cfRule>
  </conditionalFormatting>
  <conditionalFormatting sqref="AK23">
    <cfRule type="cellIs" dxfId="6214" priority="2347" stopIfTrue="1" operator="equal">
      <formula>"must have 162 starts"</formula>
    </cfRule>
  </conditionalFormatting>
  <conditionalFormatting sqref="AK3:AK22">
    <cfRule type="cellIs" dxfId="6213" priority="2346" stopIfTrue="1" operator="equal">
      <formula>"must average at least 5 innings per start"</formula>
    </cfRule>
  </conditionalFormatting>
  <conditionalFormatting sqref="AK23">
    <cfRule type="cellIs" dxfId="6212" priority="2345" stopIfTrue="1" operator="equal">
      <formula>"must have 162 starts"</formula>
    </cfRule>
  </conditionalFormatting>
  <conditionalFormatting sqref="AK3:AK22">
    <cfRule type="cellIs" dxfId="6211" priority="2344" stopIfTrue="1" operator="equal">
      <formula>"must average at least 5 innings per start"</formula>
    </cfRule>
  </conditionalFormatting>
  <conditionalFormatting sqref="AK23">
    <cfRule type="cellIs" dxfId="6210" priority="2343" stopIfTrue="1" operator="equal">
      <formula>"must have 162 starts"</formula>
    </cfRule>
  </conditionalFormatting>
  <conditionalFormatting sqref="AG3:AG22">
    <cfRule type="cellIs" dxfId="6209" priority="2342" stopIfTrue="1" operator="equal">
      <formula>"must average at least 5 innings per start"</formula>
    </cfRule>
  </conditionalFormatting>
  <conditionalFormatting sqref="AG23">
    <cfRule type="cellIs" dxfId="6208" priority="2341" stopIfTrue="1" operator="equal">
      <formula>"must have 162 starts"</formula>
    </cfRule>
  </conditionalFormatting>
  <conditionalFormatting sqref="AK3:AK22">
    <cfRule type="cellIs" dxfId="6207" priority="2340" stopIfTrue="1" operator="equal">
      <formula>"must average at least 5 innings per start"</formula>
    </cfRule>
  </conditionalFormatting>
  <conditionalFormatting sqref="AK23">
    <cfRule type="cellIs" dxfId="6206" priority="2339" stopIfTrue="1" operator="equal">
      <formula>"must have 162 starts"</formula>
    </cfRule>
  </conditionalFormatting>
  <conditionalFormatting sqref="AK3:AK22">
    <cfRule type="cellIs" dxfId="6205" priority="2338" stopIfTrue="1" operator="equal">
      <formula>"must average at least 5 innings per start"</formula>
    </cfRule>
  </conditionalFormatting>
  <conditionalFormatting sqref="AK23">
    <cfRule type="cellIs" dxfId="6204" priority="2337" stopIfTrue="1" operator="equal">
      <formula>"must have 162 starts"</formula>
    </cfRule>
  </conditionalFormatting>
  <conditionalFormatting sqref="AK3:AK22">
    <cfRule type="cellIs" dxfId="6203" priority="2336" stopIfTrue="1" operator="equal">
      <formula>"must average at least 5 innings per start"</formula>
    </cfRule>
  </conditionalFormatting>
  <conditionalFormatting sqref="AK23">
    <cfRule type="cellIs" dxfId="6202" priority="2335" stopIfTrue="1" operator="equal">
      <formula>"must have 162 starts"</formula>
    </cfRule>
  </conditionalFormatting>
  <conditionalFormatting sqref="AG3:AG22">
    <cfRule type="cellIs" dxfId="6201" priority="2334" stopIfTrue="1" operator="equal">
      <formula>"must average at least 5 innings per start"</formula>
    </cfRule>
  </conditionalFormatting>
  <conditionalFormatting sqref="AG23">
    <cfRule type="cellIs" dxfId="6200" priority="2333" stopIfTrue="1" operator="equal">
      <formula>"must have 162 starts"</formula>
    </cfRule>
  </conditionalFormatting>
  <conditionalFormatting sqref="AK3:AK22">
    <cfRule type="cellIs" dxfId="6199" priority="2332" stopIfTrue="1" operator="equal">
      <formula>"must average at least 5 innings per start"</formula>
    </cfRule>
  </conditionalFormatting>
  <conditionalFormatting sqref="AK23">
    <cfRule type="cellIs" dxfId="6198" priority="2331" stopIfTrue="1" operator="equal">
      <formula>"must have 162 starts"</formula>
    </cfRule>
  </conditionalFormatting>
  <conditionalFormatting sqref="AG3:AG22">
    <cfRule type="cellIs" dxfId="6197" priority="2330" stopIfTrue="1" operator="equal">
      <formula>"must average at least 5 innings per start"</formula>
    </cfRule>
  </conditionalFormatting>
  <conditionalFormatting sqref="AG23">
    <cfRule type="cellIs" dxfId="6196" priority="2329" stopIfTrue="1" operator="equal">
      <formula>"must have 162 starts"</formula>
    </cfRule>
  </conditionalFormatting>
  <conditionalFormatting sqref="Q2">
    <cfRule type="cellIs" dxfId="6195" priority="1" stopIfTrue="1" operator="equal">
      <formula>"ROTATION FAILED"</formula>
    </cfRule>
  </conditionalFormatting>
  <hyperlinks>
    <hyperlink ref="V14" r:id="rId1" display="http://www.obaks.com/kading/08ont.html"/>
    <hyperlink ref="V9" r:id="rId2" display="http://www.obaks.com/kading/06mil.html"/>
    <hyperlink ref="V11" r:id="rId3" display="http://www.obaks.com/kading/03mil.html"/>
    <hyperlink ref="V12" r:id="rId4" display="http://www.obaks.com/kading/02mil.html"/>
    <hyperlink ref="V13" r:id="rId5" display="http://www.obaks.com/kading/01mil.html"/>
  </hyperlinks>
  <printOptions gridLines="1"/>
  <pageMargins left="0.75" right="0.75" top="1" bottom="1" header="0.5" footer="0.5"/>
  <pageSetup orientation="portrait" r:id="rId6"/>
  <headerFooter alignWithMargins="0">
    <oddHeader>&amp;A</oddHeader>
  </headerFooter>
  <webPublishItems count="3">
    <webPublishItem id="29106" divId="ROTcheck_29106" sourceType="sheet" destinationFile="C:\1kading\schedule\skedsam.html"/>
    <webPublishItem id="26764" divId="ROTcheck_26764" sourceType="range" sourceRef="A1:O193" destinationFile="C:\1kading\schedule\skedsam.html"/>
    <webPublishItem id="25800" divId="ROTcheck_25800" sourceType="range" sourceRef="A156:O185" destinationFile="C:\1kading\schedule\skedsam.html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ACA</vt:lpstr>
      <vt:lpstr>BAN</vt:lpstr>
      <vt:lpstr>BCB</vt:lpstr>
      <vt:lpstr>BCW</vt:lpstr>
      <vt:lpstr>BEA</vt:lpstr>
      <vt:lpstr>BHB</vt:lpstr>
      <vt:lpstr>CAN</vt:lpstr>
      <vt:lpstr>FAT</vt:lpstr>
      <vt:lpstr>GCW</vt:lpstr>
      <vt:lpstr>GRZ</vt:lpstr>
      <vt:lpstr>IND</vt:lpstr>
      <vt:lpstr>LVT</vt:lpstr>
      <vt:lpstr>MAD</vt:lpstr>
      <vt:lpstr>MAT</vt:lpstr>
      <vt:lpstr>MED</vt:lpstr>
      <vt:lpstr>MID</vt:lpstr>
      <vt:lpstr>MIL</vt:lpstr>
      <vt:lpstr>MPG</vt:lpstr>
      <vt:lpstr>NAS</vt:lpstr>
      <vt:lpstr>NEW</vt:lpstr>
      <vt:lpstr>NJJ</vt:lpstr>
      <vt:lpstr>OSH</vt:lpstr>
      <vt:lpstr>OTT</vt:lpstr>
      <vt:lpstr>PEN</vt:lpstr>
      <vt:lpstr>RCR</vt:lpstr>
      <vt:lpstr>RIV</vt:lpstr>
      <vt:lpstr>ROS</vt:lpstr>
      <vt:lpstr>SUN</vt:lpstr>
      <vt:lpstr>TTT</vt:lpstr>
      <vt:lpstr>TUG</vt:lpstr>
      <vt:lpstr>Pitchers</vt:lpstr>
      <vt:lpstr>BCB!Print_Area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James</dc:creator>
  <cp:lastModifiedBy>Mike James</cp:lastModifiedBy>
  <cp:lastPrinted>2010-09-02T22:27:24Z</cp:lastPrinted>
  <dcterms:created xsi:type="dcterms:W3CDTF">2005-03-22T03:10:07Z</dcterms:created>
  <dcterms:modified xsi:type="dcterms:W3CDTF">2016-04-04T07:16:28Z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bdcc9588-529d-43e2-a42b-80506fbe5f7f</vt:lpwstr>
  </property>
</Properties>
</file>